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pivotTables/pivotTable5.xml" ContentType="application/vnd.openxmlformats-officedocument.spreadsheetml.pivotTable+xml"/>
  <Override PartName="/xl/comments5.xml" ContentType="application/vnd.openxmlformats-officedocument.spreadsheetml.comments+xml"/>
  <Override PartName="/xl/pivotTables/pivotTable6.xml" ContentType="application/vnd.openxmlformats-officedocument.spreadsheetml.pivotTable+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defaultThemeVersion="166925"/>
  <mc:AlternateContent xmlns:mc="http://schemas.openxmlformats.org/markup-compatibility/2006">
    <mc:Choice Requires="x15">
      <x15ac:absPath xmlns:x15ac="http://schemas.microsoft.com/office/spreadsheetml/2010/11/ac" url="C:\Users\NGabor\Documents\"/>
    </mc:Choice>
  </mc:AlternateContent>
  <xr:revisionPtr revIDLastSave="0" documentId="13_ncr:1_{537125A4-9A29-4BB5-90F6-F9EF5B5240F1}" xr6:coauthVersionLast="47" xr6:coauthVersionMax="47" xr10:uidLastSave="{00000000-0000-0000-0000-000000000000}"/>
  <workbookProtection workbookAlgorithmName="SHA-512" workbookHashValue="K4uu1Mjinwlb/AAsxVhryOeH75cvjmD9S4yWP5JMdJXlo+UkiRdVk8FeKGSZjvFqSccgjdzMgncvJBNT1qPK1g==" workbookSaltValue="UQ8ACzw61ZAYnfP8uiRqpQ==" workbookSpinCount="100000" lockStructure="1"/>
  <bookViews>
    <workbookView xWindow="-108" yWindow="-108" windowWidth="23256" windowHeight="12576" tabRatio="912" activeTab="1" xr2:uid="{00000000-000D-0000-FFFF-FFFF00000000}"/>
  </bookViews>
  <sheets>
    <sheet name="Instructions" sheetId="23" r:id="rId1"/>
    <sheet name="Budget" sheetId="1" r:id="rId2"/>
    <sheet name="Add-On Tool" sheetId="18" r:id="rId3"/>
    <sheet name="Steps to Update" sheetId="40" state="hidden" r:id="rId4"/>
    <sheet name="Waiver Rate Table" sheetId="20" state="hidden" r:id="rId5"/>
    <sheet name="Addon Table" sheetId="44" state="hidden" r:id="rId6"/>
    <sheet name="FY24_PCI2_Rates.locked v3" sheetId="41" state="hidden" r:id="rId7"/>
    <sheet name="FPS SQL" sheetId="31" state="hidden" r:id="rId8"/>
    <sheet name="FPS SQL Data" sheetId="32" state="hidden" r:id="rId9"/>
    <sheet name="FPS Pivot Table" sheetId="33" state="hidden" r:id="rId10"/>
    <sheet name="Waiver SQL" sheetId="36" state="hidden" r:id="rId11"/>
    <sheet name="Waiver SQL Data" sheetId="37" state="hidden" r:id="rId12"/>
    <sheet name="WaiverPivot Table" sheetId="38" state="hidden" r:id="rId13"/>
    <sheet name="FPS SQL Data (2)" sheetId="43" state="hidden" r:id="rId14"/>
  </sheets>
  <definedNames>
    <definedName name="_xlnm._FilterDatabase" localSheetId="5" hidden="1">'Addon Table'!$A$1:$F$19</definedName>
    <definedName name="_xlnm._FilterDatabase" localSheetId="8" hidden="1">'FPS SQL Data'!$A$1:$I$451</definedName>
    <definedName name="_xlnm._FilterDatabase" localSheetId="13" hidden="1">'FPS SQL Data (2)'!$A$1:$I$901</definedName>
    <definedName name="_xlnm._FilterDatabase" localSheetId="4" hidden="1">'Waiver Rate Table'!$B$7:$S$184</definedName>
    <definedName name="_xlnm._FilterDatabase" localSheetId="11" hidden="1">'Waiver SQL Data'!$A$1:$J$1</definedName>
    <definedName name="_xlnm.Print_Area" localSheetId="2">'Add-On Tool'!$B$2:$O$48</definedName>
    <definedName name="_xlnm.Print_Area" localSheetId="1">Budget!$C$1:$AG$78</definedName>
    <definedName name="_xlnm.Print_Area" localSheetId="0">Instructions!$A$4:$A$15</definedName>
    <definedName name="_xlnm.Print_Titles" localSheetId="1">Budget!$1:$12</definedName>
  </definedNames>
  <calcPr calcId="191029"/>
  <pivotCaches>
    <pivotCache cacheId="13" r:id="rId15"/>
    <pivotCache cacheId="14" r:id="rId16"/>
    <pivotCache cacheId="15" r:id="rId17"/>
    <pivotCache cacheId="16" r:id="rId18"/>
    <pivotCache cacheId="17" r:id="rId19"/>
    <pivotCache cacheId="18"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2" i="18" l="1"/>
  <c r="J13" i="18"/>
  <c r="EE52" i="1"/>
  <c r="EE51" i="1"/>
  <c r="EE50" i="1"/>
  <c r="EE49" i="1"/>
  <c r="EE48" i="1"/>
  <c r="EE47" i="1"/>
  <c r="EE46" i="1"/>
  <c r="EE45" i="1"/>
  <c r="EE44" i="1"/>
  <c r="EE43" i="1"/>
  <c r="EE42" i="1"/>
  <c r="EE41" i="1"/>
  <c r="EE40" i="1"/>
  <c r="EE39" i="1"/>
  <c r="EE38" i="1"/>
  <c r="EE37" i="1"/>
  <c r="EE36" i="1"/>
  <c r="EE35" i="1"/>
  <c r="EE34" i="1"/>
  <c r="EE33" i="1"/>
  <c r="EE32" i="1"/>
  <c r="EE31" i="1"/>
  <c r="EE30" i="1"/>
  <c r="EE29" i="1"/>
  <c r="EE28" i="1"/>
  <c r="EE27" i="1"/>
  <c r="EE26" i="1"/>
  <c r="EE25" i="1"/>
  <c r="EE24" i="1"/>
  <c r="EE23" i="1"/>
  <c r="EE22" i="1"/>
  <c r="EE21" i="1"/>
  <c r="EE20" i="1"/>
  <c r="EE19" i="1"/>
  <c r="EE18" i="1"/>
  <c r="EE17" i="1"/>
  <c r="EE16" i="1"/>
  <c r="EE15" i="1"/>
  <c r="EE14" i="1"/>
  <c r="EE13" i="1"/>
  <c r="EE12" i="1"/>
  <c r="EE11" i="1"/>
  <c r="EE10" i="1"/>
  <c r="EE9" i="1"/>
  <c r="EE8" i="1"/>
  <c r="EE7" i="1"/>
  <c r="EE6" i="1"/>
  <c r="EE5" i="1"/>
  <c r="EM52" i="1"/>
  <c r="EM51" i="1"/>
  <c r="EM50" i="1"/>
  <c r="EM49" i="1"/>
  <c r="EM48" i="1"/>
  <c r="EM47" i="1"/>
  <c r="EM46" i="1"/>
  <c r="EM45" i="1"/>
  <c r="EM44" i="1"/>
  <c r="EM43" i="1"/>
  <c r="EM42" i="1"/>
  <c r="EM41" i="1"/>
  <c r="EM40" i="1"/>
  <c r="EM39" i="1"/>
  <c r="EM38" i="1"/>
  <c r="EM37" i="1"/>
  <c r="EM36" i="1"/>
  <c r="EM35" i="1"/>
  <c r="EM34" i="1"/>
  <c r="EM33" i="1"/>
  <c r="EM32" i="1"/>
  <c r="EM31" i="1"/>
  <c r="EM30" i="1"/>
  <c r="EM29" i="1"/>
  <c r="EM28" i="1"/>
  <c r="EM27" i="1"/>
  <c r="EM26" i="1"/>
  <c r="EM25" i="1"/>
  <c r="EM24" i="1"/>
  <c r="EM23" i="1"/>
  <c r="EM22" i="1"/>
  <c r="EM21" i="1"/>
  <c r="EM20" i="1"/>
  <c r="EM19" i="1"/>
  <c r="EM18" i="1"/>
  <c r="EM17" i="1"/>
  <c r="EM16" i="1"/>
  <c r="EM15" i="1"/>
  <c r="EM14" i="1"/>
  <c r="EM13" i="1"/>
  <c r="EM12" i="1"/>
  <c r="EM11" i="1"/>
  <c r="EM10" i="1"/>
  <c r="EM9" i="1"/>
  <c r="EM8" i="1"/>
  <c r="EM7" i="1"/>
  <c r="EM6" i="1"/>
  <c r="EM5" i="1"/>
  <c r="B3" i="18"/>
  <c r="J11" i="18" s="1"/>
  <c r="J6" i="18" l="1"/>
  <c r="J7" i="18"/>
  <c r="J14" i="18"/>
  <c r="J10" i="18"/>
  <c r="J9" i="18"/>
  <c r="J8" i="18"/>
  <c r="D9" i="33"/>
  <c r="M16" i="41"/>
  <c r="M15" i="41"/>
  <c r="M14" i="41"/>
  <c r="D32" i="41"/>
  <c r="H452" i="43"/>
  <c r="H2" i="32"/>
  <c r="AG15" i="1" l="1"/>
  <c r="Q5" i="1"/>
  <c r="G1" i="18"/>
  <c r="AI15" i="1" l="1"/>
  <c r="EN4" i="1"/>
  <c r="EF4" i="1"/>
  <c r="R4" i="20"/>
  <c r="DT4" i="1"/>
  <c r="CY4" i="1"/>
  <c r="A11" i="1" l="1"/>
  <c r="A10" i="1" l="1"/>
  <c r="F10" i="1" s="1"/>
  <c r="A8" i="1"/>
  <c r="C3" i="18" s="1"/>
  <c r="AG25" i="1"/>
  <c r="AG24" i="1"/>
  <c r="AG23" i="1"/>
  <c r="AG22" i="1"/>
  <c r="AG21" i="1"/>
  <c r="AG20" i="1"/>
  <c r="AG19" i="1"/>
  <c r="M14" i="18" l="1"/>
  <c r="M13" i="18"/>
  <c r="AF12" i="1"/>
  <c r="AG14" i="1"/>
  <c r="AG12" i="1" l="1"/>
  <c r="AF13" i="1" s="1"/>
  <c r="AI14" i="1"/>
  <c r="R17" i="1" l="1"/>
  <c r="AQ26" i="1"/>
  <c r="AQ25" i="1"/>
  <c r="N17" i="1"/>
  <c r="AF58" i="20" l="1"/>
  <c r="A14" i="1" l="1"/>
  <c r="U47" i="18"/>
  <c r="U46" i="18"/>
  <c r="U45" i="18"/>
  <c r="U38" i="18"/>
  <c r="U37" i="18"/>
  <c r="U36" i="18"/>
  <c r="V5" i="18"/>
  <c r="U44" i="18" s="1"/>
  <c r="Q5" i="18"/>
  <c r="Q44" i="18" s="1"/>
  <c r="U5" i="18"/>
  <c r="R20" i="18" s="1"/>
  <c r="P5" i="18"/>
  <c r="P44" i="18" s="1"/>
  <c r="M4" i="18"/>
  <c r="N15" i="18" s="1"/>
  <c r="J4" i="18"/>
  <c r="K15" i="18" s="1"/>
  <c r="J48" i="18" l="1"/>
  <c r="J39" i="18"/>
  <c r="J30" i="18"/>
  <c r="M48" i="18"/>
  <c r="M39" i="18"/>
  <c r="M30" i="18"/>
  <c r="I19" i="18"/>
  <c r="I43" i="18"/>
  <c r="I34" i="18"/>
  <c r="L19" i="18"/>
  <c r="L43" i="18"/>
  <c r="L34" i="18"/>
  <c r="S20" i="18"/>
  <c r="U20" i="18"/>
  <c r="Q35" i="18"/>
  <c r="U35" i="18"/>
  <c r="T20" i="18"/>
  <c r="T44" i="18"/>
  <c r="P35" i="18"/>
  <c r="T35" i="18"/>
  <c r="AK24" i="18"/>
  <c r="AR24" i="1"/>
  <c r="AF18" i="1" l="1"/>
  <c r="AG63" i="1" s="1"/>
  <c r="AE18" i="1"/>
  <c r="AK18" i="1" s="1"/>
  <c r="AO18" i="1"/>
  <c r="AN18" i="1"/>
  <c r="AL18" i="1" l="1"/>
  <c r="AF63" i="1"/>
  <c r="AQ24" i="1"/>
  <c r="A3" i="40" l="1"/>
  <c r="A4" i="40" l="1"/>
  <c r="A5" i="40" s="1"/>
  <c r="A6" i="40" s="1"/>
  <c r="Q183" i="20"/>
  <c r="P183" i="20"/>
  <c r="Q182" i="20"/>
  <c r="P182" i="20"/>
  <c r="Q181" i="20"/>
  <c r="P181" i="20"/>
  <c r="Q180" i="20"/>
  <c r="P180" i="20"/>
  <c r="Q179" i="20"/>
  <c r="T179" i="20" s="1"/>
  <c r="P179" i="20"/>
  <c r="Q178" i="20"/>
  <c r="P178" i="20"/>
  <c r="Q177" i="20"/>
  <c r="P177" i="20"/>
  <c r="Q176" i="20"/>
  <c r="P176" i="20"/>
  <c r="Q175" i="20"/>
  <c r="T175" i="20" s="1"/>
  <c r="P175" i="20"/>
  <c r="Q174" i="20"/>
  <c r="P174" i="20"/>
  <c r="Q173" i="20"/>
  <c r="P173" i="20"/>
  <c r="Q172" i="20"/>
  <c r="P172" i="20"/>
  <c r="Q171" i="20"/>
  <c r="T171" i="20" s="1"/>
  <c r="P171" i="20"/>
  <c r="Q170" i="20"/>
  <c r="P170" i="20"/>
  <c r="Q169" i="20"/>
  <c r="R169" i="20" s="1"/>
  <c r="P169" i="20"/>
  <c r="Q168" i="20"/>
  <c r="P168" i="20"/>
  <c r="Q167" i="20"/>
  <c r="T167" i="20" s="1"/>
  <c r="P167" i="20"/>
  <c r="Q166" i="20"/>
  <c r="P166" i="20"/>
  <c r="Q165" i="20"/>
  <c r="P165" i="20"/>
  <c r="Q164" i="20"/>
  <c r="P164" i="20"/>
  <c r="Q163" i="20"/>
  <c r="T163" i="20" s="1"/>
  <c r="P163" i="20"/>
  <c r="Q162" i="20"/>
  <c r="P162" i="20"/>
  <c r="Q161" i="20"/>
  <c r="P161" i="20"/>
  <c r="Q160" i="20"/>
  <c r="P160" i="20"/>
  <c r="Q159" i="20"/>
  <c r="T159" i="20" s="1"/>
  <c r="P159" i="20"/>
  <c r="Q158" i="20"/>
  <c r="P158" i="20"/>
  <c r="Q157" i="20"/>
  <c r="P157" i="20"/>
  <c r="Q156" i="20"/>
  <c r="P156" i="20"/>
  <c r="Q155" i="20"/>
  <c r="P155" i="20"/>
  <c r="Q154" i="20"/>
  <c r="P154" i="20"/>
  <c r="Q153" i="20"/>
  <c r="R153" i="20" s="1"/>
  <c r="P153" i="20"/>
  <c r="Q152" i="20"/>
  <c r="P152" i="20"/>
  <c r="Q151" i="20"/>
  <c r="P151" i="20"/>
  <c r="Q150" i="20"/>
  <c r="P150" i="20"/>
  <c r="Q149" i="20"/>
  <c r="R149" i="20" s="1"/>
  <c r="P149" i="20"/>
  <c r="Q148" i="20"/>
  <c r="P148" i="20"/>
  <c r="Q147" i="20"/>
  <c r="P147" i="20"/>
  <c r="Q146" i="20"/>
  <c r="P146" i="20"/>
  <c r="Q145" i="20"/>
  <c r="R145" i="20" s="1"/>
  <c r="P145" i="20"/>
  <c r="Q144" i="20"/>
  <c r="P144" i="20"/>
  <c r="Q143" i="20"/>
  <c r="T143" i="20" s="1"/>
  <c r="P143" i="20"/>
  <c r="Q142" i="20"/>
  <c r="P142" i="20"/>
  <c r="Q141" i="20"/>
  <c r="P141" i="20"/>
  <c r="Q140" i="20"/>
  <c r="P140" i="20"/>
  <c r="Q139" i="20"/>
  <c r="T139" i="20" s="1"/>
  <c r="P139" i="20"/>
  <c r="Q138" i="20"/>
  <c r="P138" i="20"/>
  <c r="Q137" i="20"/>
  <c r="P137" i="20"/>
  <c r="Q136" i="20"/>
  <c r="P136" i="20"/>
  <c r="Q135" i="20"/>
  <c r="T135" i="20" s="1"/>
  <c r="P135" i="20"/>
  <c r="Q134" i="20"/>
  <c r="P134" i="20"/>
  <c r="Q133" i="20"/>
  <c r="P133" i="20"/>
  <c r="Q132" i="20"/>
  <c r="P132" i="20"/>
  <c r="Q131" i="20"/>
  <c r="P131" i="20"/>
  <c r="Q130" i="20"/>
  <c r="P130" i="20"/>
  <c r="Q129" i="20"/>
  <c r="P129" i="20"/>
  <c r="Q128" i="20"/>
  <c r="P128" i="20"/>
  <c r="Q127" i="20"/>
  <c r="T127" i="20" s="1"/>
  <c r="P127" i="20"/>
  <c r="Q126" i="20"/>
  <c r="P126" i="20"/>
  <c r="Q125" i="20"/>
  <c r="P125" i="20"/>
  <c r="Q124" i="20"/>
  <c r="P124" i="20"/>
  <c r="Q123" i="20"/>
  <c r="T123" i="20" s="1"/>
  <c r="P123" i="20"/>
  <c r="Q122" i="20"/>
  <c r="P122" i="20"/>
  <c r="Q121" i="20"/>
  <c r="R121" i="20" s="1"/>
  <c r="P121" i="20"/>
  <c r="Q120" i="20"/>
  <c r="P120" i="20"/>
  <c r="Q119" i="20"/>
  <c r="P119" i="20"/>
  <c r="Q118" i="20"/>
  <c r="P118" i="20"/>
  <c r="Q117" i="20"/>
  <c r="P117" i="20"/>
  <c r="Q116" i="20"/>
  <c r="P116" i="20"/>
  <c r="Q115" i="20"/>
  <c r="T115" i="20" s="1"/>
  <c r="P115" i="20"/>
  <c r="Q114" i="20"/>
  <c r="P114" i="20"/>
  <c r="Q113" i="20"/>
  <c r="P113" i="20"/>
  <c r="Q112" i="20"/>
  <c r="P112" i="20"/>
  <c r="Q111" i="20"/>
  <c r="P111" i="20"/>
  <c r="Q110" i="20"/>
  <c r="P110" i="20"/>
  <c r="Q109" i="20"/>
  <c r="P109" i="20"/>
  <c r="Q108" i="20"/>
  <c r="P108" i="20"/>
  <c r="Q107" i="20"/>
  <c r="P107" i="20"/>
  <c r="Q106" i="20"/>
  <c r="P106" i="20"/>
  <c r="Q105" i="20"/>
  <c r="P105" i="20"/>
  <c r="Q104" i="20"/>
  <c r="P104" i="20"/>
  <c r="Q103" i="20"/>
  <c r="T103" i="20" s="1"/>
  <c r="P103" i="20"/>
  <c r="Q102" i="20"/>
  <c r="P102" i="20"/>
  <c r="Q101" i="20"/>
  <c r="P101" i="20"/>
  <c r="Q100" i="20"/>
  <c r="P100" i="20"/>
  <c r="Q99" i="20"/>
  <c r="P99" i="20"/>
  <c r="Q98" i="20"/>
  <c r="P98" i="20"/>
  <c r="Q97" i="20"/>
  <c r="R97" i="20" s="1"/>
  <c r="P97" i="20"/>
  <c r="Q96" i="20"/>
  <c r="P96" i="20"/>
  <c r="Q95" i="20"/>
  <c r="P95" i="20"/>
  <c r="Q94" i="20"/>
  <c r="P94" i="20"/>
  <c r="Q93" i="20"/>
  <c r="P93" i="20"/>
  <c r="Q92" i="20"/>
  <c r="P92" i="20"/>
  <c r="Q91" i="20"/>
  <c r="T91" i="20" s="1"/>
  <c r="P91" i="20"/>
  <c r="Q90" i="20"/>
  <c r="P90" i="20"/>
  <c r="Q89" i="20"/>
  <c r="P89" i="20"/>
  <c r="Q88" i="20"/>
  <c r="P88" i="20"/>
  <c r="Q87" i="20"/>
  <c r="P87" i="20"/>
  <c r="Q86" i="20"/>
  <c r="P86" i="20"/>
  <c r="Q85" i="20"/>
  <c r="R85" i="20" s="1"/>
  <c r="P85" i="20"/>
  <c r="Q84" i="20"/>
  <c r="P84" i="20"/>
  <c r="Q83" i="20"/>
  <c r="P83" i="20"/>
  <c r="Q82" i="20"/>
  <c r="P82" i="20"/>
  <c r="Q81" i="20"/>
  <c r="P81" i="20"/>
  <c r="Q80" i="20"/>
  <c r="P80" i="20"/>
  <c r="Q79" i="20"/>
  <c r="T79" i="20" s="1"/>
  <c r="P79" i="20"/>
  <c r="Q78" i="20"/>
  <c r="P78" i="20"/>
  <c r="Q77" i="20"/>
  <c r="P77" i="20"/>
  <c r="Q76" i="20"/>
  <c r="P76" i="20"/>
  <c r="Q75" i="20"/>
  <c r="P75" i="20"/>
  <c r="Q74" i="20"/>
  <c r="P74" i="20"/>
  <c r="Q73" i="20"/>
  <c r="R73" i="20" s="1"/>
  <c r="P73" i="20"/>
  <c r="Q72" i="20"/>
  <c r="P72" i="20"/>
  <c r="Q71" i="20"/>
  <c r="P71" i="20"/>
  <c r="Q70" i="20"/>
  <c r="P70" i="20"/>
  <c r="Q69" i="20"/>
  <c r="P69" i="20"/>
  <c r="Q68" i="20"/>
  <c r="P68" i="20"/>
  <c r="Q67" i="20"/>
  <c r="T67" i="20" s="1"/>
  <c r="P67" i="20"/>
  <c r="Q66" i="20"/>
  <c r="P66" i="20"/>
  <c r="Q65" i="20"/>
  <c r="P65" i="20"/>
  <c r="Q64" i="20"/>
  <c r="P64" i="20"/>
  <c r="Q63" i="20"/>
  <c r="P63" i="20"/>
  <c r="Q62" i="20"/>
  <c r="P62" i="20"/>
  <c r="Q61" i="20"/>
  <c r="P61" i="20"/>
  <c r="Q60" i="20"/>
  <c r="P60" i="20"/>
  <c r="Q59" i="20"/>
  <c r="P59" i="20"/>
  <c r="Q58" i="20"/>
  <c r="P58" i="20"/>
  <c r="Q57" i="20"/>
  <c r="P57" i="20"/>
  <c r="Q56" i="20"/>
  <c r="P56" i="20"/>
  <c r="Q55" i="20"/>
  <c r="T55" i="20" s="1"/>
  <c r="P55" i="20"/>
  <c r="Q54" i="20"/>
  <c r="P54" i="20"/>
  <c r="Q53" i="20"/>
  <c r="P53" i="20"/>
  <c r="Q52" i="20"/>
  <c r="P52" i="20"/>
  <c r="Q51" i="20"/>
  <c r="P51" i="20"/>
  <c r="Q50" i="20"/>
  <c r="P50" i="20"/>
  <c r="Q49" i="20"/>
  <c r="P49" i="20"/>
  <c r="Q48" i="20"/>
  <c r="P48" i="20"/>
  <c r="Q47" i="20"/>
  <c r="P47" i="20"/>
  <c r="Q46" i="20"/>
  <c r="P46" i="20"/>
  <c r="Q45" i="20"/>
  <c r="R45" i="20" s="1"/>
  <c r="P45" i="20"/>
  <c r="Q44" i="20"/>
  <c r="P44" i="20"/>
  <c r="Q43" i="20"/>
  <c r="P43" i="20"/>
  <c r="Q42" i="20"/>
  <c r="P42" i="20"/>
  <c r="Q41" i="20"/>
  <c r="P41" i="20"/>
  <c r="Q40" i="20"/>
  <c r="P40" i="20"/>
  <c r="Q39" i="20"/>
  <c r="P39" i="20"/>
  <c r="Q38" i="20"/>
  <c r="P38" i="20"/>
  <c r="Q37" i="20"/>
  <c r="R37" i="20" s="1"/>
  <c r="P37" i="20"/>
  <c r="Q36" i="20"/>
  <c r="P36" i="20"/>
  <c r="Q35" i="20"/>
  <c r="P35" i="20"/>
  <c r="Q34" i="20"/>
  <c r="P34" i="20"/>
  <c r="Q33" i="20"/>
  <c r="P33" i="20"/>
  <c r="Q32" i="20"/>
  <c r="P32" i="20"/>
  <c r="Q31" i="20"/>
  <c r="P31" i="20"/>
  <c r="Q30" i="20"/>
  <c r="P30" i="20"/>
  <c r="Q29" i="20"/>
  <c r="P29" i="20"/>
  <c r="Q28" i="20"/>
  <c r="P28" i="20"/>
  <c r="Q27" i="20"/>
  <c r="P27" i="20"/>
  <c r="Q26" i="20"/>
  <c r="P26" i="20"/>
  <c r="Q25" i="20"/>
  <c r="R25" i="20" s="1"/>
  <c r="P25" i="20"/>
  <c r="Q24" i="20"/>
  <c r="P24" i="20"/>
  <c r="Q23" i="20"/>
  <c r="P23" i="20"/>
  <c r="Q22" i="20"/>
  <c r="P22" i="20"/>
  <c r="Q21" i="20"/>
  <c r="R21" i="20" s="1"/>
  <c r="P21" i="20"/>
  <c r="Q20" i="20"/>
  <c r="P20" i="20"/>
  <c r="Q19" i="20"/>
  <c r="P19" i="20"/>
  <c r="Q18" i="20"/>
  <c r="P18" i="20"/>
  <c r="Q17" i="20"/>
  <c r="R17" i="20" s="1"/>
  <c r="P17" i="20"/>
  <c r="Q16" i="20"/>
  <c r="P16" i="20"/>
  <c r="Q15" i="20"/>
  <c r="P15" i="20"/>
  <c r="Q14" i="20"/>
  <c r="P14" i="20"/>
  <c r="Q13" i="20"/>
  <c r="P13" i="20"/>
  <c r="Q12" i="20"/>
  <c r="P12" i="20"/>
  <c r="Q11" i="20"/>
  <c r="P11" i="20"/>
  <c r="Q10" i="20"/>
  <c r="P10" i="20"/>
  <c r="Q9" i="20"/>
  <c r="P9" i="20"/>
  <c r="T28" i="20" l="1"/>
  <c r="T32" i="20"/>
  <c r="T48" i="20"/>
  <c r="T52" i="20"/>
  <c r="T56" i="20"/>
  <c r="T60" i="20"/>
  <c r="T64" i="20"/>
  <c r="T68" i="20"/>
  <c r="T76" i="20"/>
  <c r="T80" i="20"/>
  <c r="T88" i="20"/>
  <c r="T92" i="20"/>
  <c r="T100" i="20"/>
  <c r="T104" i="20"/>
  <c r="T108" i="20"/>
  <c r="T112" i="20"/>
  <c r="T116" i="20"/>
  <c r="T124" i="20"/>
  <c r="T128" i="20"/>
  <c r="T132" i="20"/>
  <c r="T136" i="20"/>
  <c r="T140" i="20"/>
  <c r="T144" i="20"/>
  <c r="T156" i="20"/>
  <c r="T160" i="20"/>
  <c r="T164" i="20"/>
  <c r="T172" i="20"/>
  <c r="T176" i="20"/>
  <c r="T180" i="20"/>
  <c r="T183" i="20"/>
  <c r="T36" i="20"/>
  <c r="R36" i="20"/>
  <c r="T84" i="20"/>
  <c r="R84" i="20"/>
  <c r="T96" i="20"/>
  <c r="R96" i="20"/>
  <c r="T120" i="20"/>
  <c r="R120" i="20"/>
  <c r="T148" i="20"/>
  <c r="R148" i="20"/>
  <c r="T152" i="20"/>
  <c r="R152" i="20"/>
  <c r="T168" i="20"/>
  <c r="R168" i="20"/>
  <c r="T24" i="20"/>
  <c r="R24" i="20"/>
  <c r="T72" i="20"/>
  <c r="R72" i="20"/>
  <c r="T44" i="20"/>
  <c r="R44" i="20"/>
  <c r="T18" i="20"/>
  <c r="R18" i="20"/>
  <c r="T22" i="20"/>
  <c r="R22" i="20"/>
  <c r="T26" i="20"/>
  <c r="R26" i="20"/>
  <c r="T30" i="20"/>
  <c r="T34" i="20"/>
  <c r="T38" i="20"/>
  <c r="R38" i="20"/>
  <c r="T42" i="20"/>
  <c r="T46" i="20"/>
  <c r="R46" i="20"/>
  <c r="T50" i="20"/>
  <c r="T54" i="20"/>
  <c r="T58" i="20"/>
  <c r="T62" i="20"/>
  <c r="T66" i="20"/>
  <c r="T70" i="20"/>
  <c r="T74" i="20"/>
  <c r="R74" i="20"/>
  <c r="T78" i="20"/>
  <c r="T82" i="20"/>
  <c r="T86" i="20"/>
  <c r="R86" i="20"/>
  <c r="T90" i="20"/>
  <c r="T94" i="20"/>
  <c r="T98" i="20"/>
  <c r="R98" i="20"/>
  <c r="T102" i="20"/>
  <c r="T106" i="20"/>
  <c r="T110" i="20"/>
  <c r="R110" i="20"/>
  <c r="T114" i="20"/>
  <c r="T118" i="20"/>
  <c r="T122" i="20"/>
  <c r="T126" i="20"/>
  <c r="T130" i="20"/>
  <c r="R130" i="20"/>
  <c r="T134" i="20"/>
  <c r="T138" i="20"/>
  <c r="T142" i="20"/>
  <c r="T146" i="20"/>
  <c r="R146" i="20"/>
  <c r="T150" i="20"/>
  <c r="T154" i="20"/>
  <c r="R154" i="20"/>
  <c r="T158" i="20"/>
  <c r="T162" i="20"/>
  <c r="T166" i="20"/>
  <c r="T170" i="20"/>
  <c r="T174" i="20"/>
  <c r="T178" i="20"/>
  <c r="T182" i="20"/>
  <c r="T20" i="20"/>
  <c r="R20" i="20"/>
  <c r="T40" i="20"/>
  <c r="R40" i="20"/>
  <c r="T19" i="20"/>
  <c r="R19" i="20"/>
  <c r="T23" i="20"/>
  <c r="R23" i="20"/>
  <c r="T27" i="20"/>
  <c r="R27" i="20"/>
  <c r="T31" i="20"/>
  <c r="T35" i="20"/>
  <c r="T39" i="20"/>
  <c r="R39" i="20"/>
  <c r="T43" i="20"/>
  <c r="R43" i="20"/>
  <c r="T47" i="20"/>
  <c r="R47" i="20"/>
  <c r="T51" i="20"/>
  <c r="T59" i="20"/>
  <c r="T63" i="20"/>
  <c r="T71" i="20"/>
  <c r="R71" i="20"/>
  <c r="T75" i="20"/>
  <c r="R75" i="20"/>
  <c r="T83" i="20"/>
  <c r="R83" i="20"/>
  <c r="T87" i="20"/>
  <c r="R87" i="20"/>
  <c r="T95" i="20"/>
  <c r="R95" i="20"/>
  <c r="T99" i="20"/>
  <c r="R99" i="20"/>
  <c r="T107" i="20"/>
  <c r="R107" i="20"/>
  <c r="T111" i="20"/>
  <c r="R111" i="20"/>
  <c r="T119" i="20"/>
  <c r="R119" i="20"/>
  <c r="T131" i="20"/>
  <c r="R131" i="20"/>
  <c r="T147" i="20"/>
  <c r="R147" i="20"/>
  <c r="T151" i="20"/>
  <c r="R151" i="20"/>
  <c r="T155" i="20"/>
  <c r="R155" i="20"/>
  <c r="T21" i="20"/>
  <c r="T29" i="20"/>
  <c r="T33" i="20"/>
  <c r="T37" i="20"/>
  <c r="T41" i="20"/>
  <c r="T45" i="20"/>
  <c r="T49" i="20"/>
  <c r="T53" i="20"/>
  <c r="T57" i="20"/>
  <c r="T61" i="20"/>
  <c r="T65" i="20"/>
  <c r="T69" i="20"/>
  <c r="T73" i="20"/>
  <c r="T77" i="20"/>
  <c r="T81" i="20"/>
  <c r="T85" i="20"/>
  <c r="T89" i="20"/>
  <c r="T93" i="20"/>
  <c r="T97" i="20"/>
  <c r="T101" i="20"/>
  <c r="T105" i="20"/>
  <c r="T109" i="20"/>
  <c r="T113" i="20"/>
  <c r="T117" i="20"/>
  <c r="T121" i="20"/>
  <c r="T125" i="20"/>
  <c r="T129" i="20"/>
  <c r="T133" i="20"/>
  <c r="T137" i="20"/>
  <c r="T141" i="20"/>
  <c r="T145" i="20"/>
  <c r="T149" i="20"/>
  <c r="T153" i="20"/>
  <c r="T157" i="20"/>
  <c r="T161" i="20"/>
  <c r="T165" i="20"/>
  <c r="T169" i="20"/>
  <c r="T173" i="20"/>
  <c r="T177" i="20"/>
  <c r="T181" i="20"/>
  <c r="T17" i="20"/>
  <c r="T25" i="20"/>
  <c r="A7" i="40"/>
  <c r="A8" i="40" s="1"/>
  <c r="A9" i="40" s="1"/>
  <c r="A10" i="40" s="1"/>
  <c r="A11" i="40" s="1"/>
  <c r="A12" i="40" s="1"/>
  <c r="A13" i="40" s="1"/>
  <c r="A14" i="40" s="1"/>
  <c r="A15" i="40" s="1"/>
  <c r="A16" i="40" s="1"/>
  <c r="A17" i="40" s="1"/>
  <c r="AA9" i="20"/>
  <c r="Q5" i="20" s="1"/>
  <c r="Z9" i="20"/>
  <c r="P5" i="20" s="1"/>
  <c r="AL27" i="18"/>
  <c r="AK27" i="18"/>
  <c r="AJ27" i="18"/>
  <c r="AI27" i="18"/>
  <c r="AH27" i="18"/>
  <c r="AG27" i="18"/>
  <c r="AL25" i="18"/>
  <c r="AK25" i="18"/>
  <c r="AJ25" i="18"/>
  <c r="AI25" i="18"/>
  <c r="AH25" i="18"/>
  <c r="AG25" i="18"/>
  <c r="AL23" i="18"/>
  <c r="AK23" i="18"/>
  <c r="AJ23" i="18"/>
  <c r="AI23" i="18"/>
  <c r="AH23" i="18"/>
  <c r="AG23" i="18"/>
  <c r="AL21" i="18"/>
  <c r="AK21" i="18"/>
  <c r="AJ21" i="18"/>
  <c r="AI21" i="18"/>
  <c r="AH21" i="18"/>
  <c r="AG21" i="18"/>
  <c r="AL19" i="18"/>
  <c r="AK19" i="18"/>
  <c r="AJ19" i="18"/>
  <c r="AI19" i="18"/>
  <c r="AH19" i="18"/>
  <c r="AG19" i="18"/>
  <c r="AL17" i="18"/>
  <c r="AK17" i="18"/>
  <c r="AJ17" i="18"/>
  <c r="AI17" i="18"/>
  <c r="AH17" i="18"/>
  <c r="AG17" i="18"/>
  <c r="AL15" i="18"/>
  <c r="AK15" i="18"/>
  <c r="AJ15" i="18"/>
  <c r="AI15" i="18"/>
  <c r="AH15" i="18"/>
  <c r="AG15" i="18"/>
  <c r="AL13" i="18"/>
  <c r="AK13" i="18"/>
  <c r="AJ13" i="18"/>
  <c r="AI13" i="18"/>
  <c r="AH13" i="18"/>
  <c r="AG13" i="18"/>
  <c r="AL11" i="18"/>
  <c r="AK11" i="18"/>
  <c r="AJ11" i="18"/>
  <c r="AI11" i="18"/>
  <c r="AH11" i="18"/>
  <c r="AG11" i="18"/>
  <c r="AL9" i="18"/>
  <c r="AK9" i="18"/>
  <c r="AJ9" i="18"/>
  <c r="AI9" i="18"/>
  <c r="AH9" i="18"/>
  <c r="AG9" i="18"/>
  <c r="AL7" i="18"/>
  <c r="AK7" i="18"/>
  <c r="AJ7" i="18"/>
  <c r="AI7" i="18"/>
  <c r="AH7" i="18"/>
  <c r="AG7" i="18"/>
  <c r="AL28" i="18"/>
  <c r="AK28" i="18"/>
  <c r="AJ28" i="18"/>
  <c r="AI28" i="18"/>
  <c r="AH28" i="18"/>
  <c r="AG28" i="18"/>
  <c r="AL26" i="18"/>
  <c r="AK26" i="18"/>
  <c r="AJ26" i="18"/>
  <c r="AI26" i="18"/>
  <c r="AH26" i="18"/>
  <c r="AG26" i="18"/>
  <c r="AL24" i="18"/>
  <c r="AJ24" i="18"/>
  <c r="AI24" i="18"/>
  <c r="AH24" i="18"/>
  <c r="AG24" i="18"/>
  <c r="AL22" i="18"/>
  <c r="AK22" i="18"/>
  <c r="AJ22" i="18"/>
  <c r="AI22" i="18"/>
  <c r="AH22" i="18"/>
  <c r="AG22" i="18"/>
  <c r="AL20" i="18"/>
  <c r="AK20" i="18"/>
  <c r="AJ20" i="18"/>
  <c r="AI20" i="18"/>
  <c r="AH20" i="18"/>
  <c r="AG20" i="18"/>
  <c r="AL18" i="18"/>
  <c r="AK18" i="18"/>
  <c r="AJ18" i="18"/>
  <c r="AI18" i="18"/>
  <c r="AH18" i="18"/>
  <c r="AG18" i="18"/>
  <c r="AL16" i="18"/>
  <c r="AK16" i="18"/>
  <c r="AJ16" i="18"/>
  <c r="AI16" i="18"/>
  <c r="AH16" i="18"/>
  <c r="AG16" i="18"/>
  <c r="AL14" i="18"/>
  <c r="AK14" i="18"/>
  <c r="AJ14" i="18"/>
  <c r="AI14" i="18"/>
  <c r="AH14" i="18"/>
  <c r="AG14" i="18"/>
  <c r="AL12" i="18"/>
  <c r="AK12" i="18"/>
  <c r="AJ12" i="18"/>
  <c r="AI12" i="18"/>
  <c r="AH12" i="18"/>
  <c r="AG12" i="18"/>
  <c r="AL10" i="18"/>
  <c r="AK10" i="18"/>
  <c r="AJ10" i="18"/>
  <c r="AI10" i="18"/>
  <c r="AH10" i="18"/>
  <c r="AG10" i="18"/>
  <c r="AL8" i="18"/>
  <c r="AK8" i="18"/>
  <c r="AJ8" i="18"/>
  <c r="AI8" i="18"/>
  <c r="AH8" i="18"/>
  <c r="AG8" i="18"/>
  <c r="AL6" i="18"/>
  <c r="AK6" i="18"/>
  <c r="AJ6" i="18"/>
  <c r="AI6" i="18"/>
  <c r="AH6" i="18"/>
  <c r="AG6" i="18"/>
  <c r="AG5" i="18"/>
  <c r="AH5" i="18"/>
  <c r="AI5" i="18"/>
  <c r="AJ5" i="18"/>
  <c r="AK5" i="18"/>
  <c r="AL5" i="18"/>
  <c r="EF48" i="1" l="1"/>
  <c r="EF47" i="1"/>
  <c r="EF20" i="1"/>
  <c r="EF19" i="1"/>
  <c r="EF6" i="1"/>
  <c r="EF52" i="1"/>
  <c r="EF51" i="1"/>
  <c r="EF50" i="1"/>
  <c r="EF49" i="1"/>
  <c r="EF46" i="1"/>
  <c r="EF45" i="1"/>
  <c r="EF44" i="1"/>
  <c r="EF42" i="1"/>
  <c r="EF41" i="1"/>
  <c r="EF34" i="1"/>
  <c r="EF33" i="1"/>
  <c r="EF28" i="1"/>
  <c r="EF27" i="1"/>
  <c r="EF24" i="1"/>
  <c r="EF23" i="1"/>
  <c r="EF16" i="1"/>
  <c r="EF15" i="1"/>
  <c r="EF38" i="1"/>
  <c r="EF37" i="1"/>
  <c r="EF36" i="1"/>
  <c r="EF26" i="1"/>
  <c r="EF22" i="1"/>
  <c r="EF21" i="1"/>
  <c r="EF14" i="1"/>
  <c r="EF40" i="1"/>
  <c r="EF39" i="1"/>
  <c r="EF32" i="1"/>
  <c r="EF31" i="1"/>
  <c r="EF30" i="1"/>
  <c r="EF29" i="1"/>
  <c r="EF18" i="1"/>
  <c r="EF17" i="1"/>
  <c r="EF12" i="1"/>
  <c r="EF10" i="1"/>
  <c r="EF8" i="1"/>
  <c r="EF7" i="1"/>
  <c r="EN48" i="1"/>
  <c r="EN47" i="1"/>
  <c r="EN20" i="1"/>
  <c r="EN19" i="1"/>
  <c r="EN6" i="1"/>
  <c r="EN5" i="1"/>
  <c r="EN52" i="1"/>
  <c r="EN51" i="1"/>
  <c r="EN50" i="1"/>
  <c r="EN49" i="1"/>
  <c r="EN46" i="1"/>
  <c r="EN45" i="1"/>
  <c r="EN44" i="1"/>
  <c r="EN43" i="1"/>
  <c r="EN42" i="1"/>
  <c r="EN41" i="1"/>
  <c r="EN34" i="1"/>
  <c r="EN33" i="1"/>
  <c r="EN28" i="1"/>
  <c r="EN27" i="1"/>
  <c r="EN24" i="1"/>
  <c r="EN23" i="1"/>
  <c r="EN16" i="1"/>
  <c r="EN15" i="1"/>
  <c r="EN38" i="1"/>
  <c r="EN37" i="1"/>
  <c r="EN36" i="1"/>
  <c r="EN26" i="1"/>
  <c r="EN25" i="1"/>
  <c r="EN22" i="1"/>
  <c r="EN21" i="1"/>
  <c r="EN14" i="1"/>
  <c r="EN13" i="1"/>
  <c r="EN40" i="1"/>
  <c r="EN39" i="1"/>
  <c r="EN32" i="1"/>
  <c r="EN31" i="1"/>
  <c r="EN30" i="1"/>
  <c r="EN29" i="1"/>
  <c r="EN18" i="1"/>
  <c r="EN17" i="1"/>
  <c r="EN12" i="1"/>
  <c r="EN11" i="1"/>
  <c r="EN10" i="1"/>
  <c r="EN9" i="1"/>
  <c r="EN8" i="1"/>
  <c r="EN7" i="1"/>
  <c r="EF9" i="1" l="1"/>
  <c r="M8" i="18" s="1"/>
  <c r="EF25" i="1"/>
  <c r="M11" i="18" s="1"/>
  <c r="EF43" i="1"/>
  <c r="M12" i="18" s="1"/>
  <c r="EF5" i="1"/>
  <c r="M7" i="18" s="1"/>
  <c r="EN35" i="1"/>
  <c r="I46" i="18"/>
  <c r="I45" i="18"/>
  <c r="I38" i="18"/>
  <c r="I37" i="18"/>
  <c r="I47" i="18"/>
  <c r="I36" i="18"/>
  <c r="EF11" i="1"/>
  <c r="M6" i="18" s="1"/>
  <c r="L6" i="18"/>
  <c r="EF35" i="1"/>
  <c r="M10" i="18" s="1"/>
  <c r="L10" i="18"/>
  <c r="EF13" i="1"/>
  <c r="M9" i="18" s="1"/>
  <c r="AL33" i="1"/>
  <c r="AL34" i="1" s="1"/>
  <c r="AN34" i="1" s="1"/>
  <c r="AK33" i="1"/>
  <c r="AK34" i="1" s="1"/>
  <c r="AM34" i="1" s="1"/>
  <c r="AL31" i="1"/>
  <c r="AK31" i="1"/>
  <c r="AL30" i="1"/>
  <c r="AK30" i="1"/>
  <c r="L47" i="18" l="1"/>
  <c r="L38" i="18"/>
  <c r="L37" i="18"/>
  <c r="L46" i="18"/>
  <c r="L36" i="18"/>
  <c r="L45" i="18"/>
  <c r="AM31" i="1"/>
  <c r="AN31" i="1"/>
  <c r="AL32" i="1"/>
  <c r="AK32" i="1"/>
  <c r="E32" i="41"/>
  <c r="E33" i="41" s="1"/>
  <c r="E34" i="41" s="1"/>
  <c r="E35" i="41" s="1"/>
  <c r="D33" i="41"/>
  <c r="D34" i="41" s="1"/>
  <c r="D35" i="41" s="1"/>
  <c r="AM33" i="1" l="1"/>
  <c r="AM32" i="1"/>
  <c r="AN33" i="1"/>
  <c r="AN32" i="1"/>
  <c r="G73" i="38"/>
  <c r="G72" i="38"/>
  <c r="G71" i="38"/>
  <c r="G70" i="38"/>
  <c r="G69" i="38"/>
  <c r="G68" i="38"/>
  <c r="G67" i="38"/>
  <c r="G66" i="38"/>
  <c r="G65" i="38"/>
  <c r="G64" i="38"/>
  <c r="G63" i="38"/>
  <c r="G62" i="38"/>
  <c r="G61" i="38"/>
  <c r="G60" i="38"/>
  <c r="G59" i="38"/>
  <c r="G58" i="38"/>
  <c r="G57" i="38"/>
  <c r="G56" i="38"/>
  <c r="G55" i="38"/>
  <c r="G54" i="38"/>
  <c r="G53" i="38"/>
  <c r="G52" i="38"/>
  <c r="G51" i="38"/>
  <c r="G50" i="38"/>
  <c r="G49" i="38"/>
  <c r="G48" i="38"/>
  <c r="G47" i="38"/>
  <c r="G46" i="38"/>
  <c r="G45" i="38"/>
  <c r="G44" i="38"/>
  <c r="G43" i="38"/>
  <c r="G42" i="38"/>
  <c r="G41" i="38"/>
  <c r="G40" i="38"/>
  <c r="G39" i="38"/>
  <c r="G38" i="38"/>
  <c r="G37" i="38"/>
  <c r="G36" i="38"/>
  <c r="G35" i="38"/>
  <c r="G34" i="38"/>
  <c r="G33" i="38"/>
  <c r="G32" i="38"/>
  <c r="G31" i="38"/>
  <c r="G30" i="38"/>
  <c r="G29" i="38"/>
  <c r="G28" i="38"/>
  <c r="G27" i="38"/>
  <c r="G26" i="38"/>
  <c r="G25" i="38"/>
  <c r="G24" i="38"/>
  <c r="G23" i="38"/>
  <c r="G22" i="38"/>
  <c r="G21" i="38"/>
  <c r="G20" i="38"/>
  <c r="G19" i="38"/>
  <c r="G18" i="38"/>
  <c r="G17" i="38"/>
  <c r="G16" i="38"/>
  <c r="G15" i="38"/>
  <c r="G14" i="38"/>
  <c r="G13" i="38"/>
  <c r="F10" i="38"/>
  <c r="E10" i="38"/>
  <c r="DS154" i="1" l="1"/>
  <c r="DT154" i="1" s="1"/>
  <c r="DS153" i="1"/>
  <c r="DT153" i="1" s="1"/>
  <c r="DS152" i="1"/>
  <c r="DT152" i="1" s="1"/>
  <c r="DS151" i="1"/>
  <c r="DT151" i="1" s="1"/>
  <c r="DS150" i="1"/>
  <c r="DT150" i="1" s="1"/>
  <c r="DS149" i="1"/>
  <c r="DT149" i="1" s="1"/>
  <c r="DS148" i="1"/>
  <c r="DT148" i="1" s="1"/>
  <c r="DS147" i="1"/>
  <c r="DT147" i="1" s="1"/>
  <c r="DS146" i="1"/>
  <c r="DT146" i="1" s="1"/>
  <c r="DS145" i="1"/>
  <c r="DT145" i="1" s="1"/>
  <c r="DS144" i="1"/>
  <c r="DT144" i="1" s="1"/>
  <c r="DS143" i="1"/>
  <c r="DT143" i="1" s="1"/>
  <c r="DS142" i="1"/>
  <c r="DT142" i="1" s="1"/>
  <c r="DS141" i="1"/>
  <c r="DT141" i="1" s="1"/>
  <c r="DS140" i="1"/>
  <c r="DT140" i="1" s="1"/>
  <c r="DS139" i="1"/>
  <c r="DT139" i="1" s="1"/>
  <c r="DS138" i="1"/>
  <c r="DT138" i="1" s="1"/>
  <c r="DS137" i="1"/>
  <c r="DT137" i="1" s="1"/>
  <c r="DS136" i="1"/>
  <c r="DT136" i="1" s="1"/>
  <c r="DS135" i="1"/>
  <c r="DT135" i="1" s="1"/>
  <c r="DS134" i="1"/>
  <c r="DT134" i="1" s="1"/>
  <c r="DS133" i="1"/>
  <c r="DT133" i="1" s="1"/>
  <c r="DS132" i="1"/>
  <c r="DT132" i="1" s="1"/>
  <c r="DS131" i="1"/>
  <c r="DT131" i="1" s="1"/>
  <c r="DS130" i="1"/>
  <c r="DT130" i="1" s="1"/>
  <c r="DS129" i="1"/>
  <c r="DT129" i="1" s="1"/>
  <c r="DS128" i="1"/>
  <c r="DT128" i="1" s="1"/>
  <c r="DS127" i="1"/>
  <c r="DT127" i="1" s="1"/>
  <c r="DS126" i="1"/>
  <c r="DT126" i="1" s="1"/>
  <c r="DS125" i="1"/>
  <c r="DT125" i="1" s="1"/>
  <c r="DS124" i="1"/>
  <c r="DT124" i="1" s="1"/>
  <c r="DS123" i="1"/>
  <c r="DT123" i="1" s="1"/>
  <c r="DS122" i="1"/>
  <c r="DT122" i="1" s="1"/>
  <c r="DS121" i="1"/>
  <c r="DT121" i="1" s="1"/>
  <c r="DS120" i="1"/>
  <c r="DT120" i="1" s="1"/>
  <c r="DS119" i="1"/>
  <c r="DT119" i="1" s="1"/>
  <c r="DS118" i="1"/>
  <c r="DT118" i="1" s="1"/>
  <c r="DS117" i="1"/>
  <c r="DT117" i="1" s="1"/>
  <c r="DS116" i="1"/>
  <c r="DT116" i="1" s="1"/>
  <c r="DS115" i="1"/>
  <c r="DT115" i="1" s="1"/>
  <c r="DS114" i="1"/>
  <c r="DT114" i="1" s="1"/>
  <c r="DS113" i="1"/>
  <c r="DT113" i="1" s="1"/>
  <c r="DS112" i="1"/>
  <c r="DT112" i="1" s="1"/>
  <c r="DS111" i="1"/>
  <c r="DT111" i="1" s="1"/>
  <c r="DS110" i="1"/>
  <c r="DT110" i="1" s="1"/>
  <c r="DS109" i="1"/>
  <c r="DT109" i="1" s="1"/>
  <c r="DS108" i="1"/>
  <c r="DT108" i="1" s="1"/>
  <c r="DS107" i="1"/>
  <c r="DT107" i="1" s="1"/>
  <c r="DS106" i="1"/>
  <c r="DT106" i="1" s="1"/>
  <c r="DS105" i="1"/>
  <c r="DT105" i="1" s="1"/>
  <c r="DS104" i="1"/>
  <c r="DT104" i="1" s="1"/>
  <c r="DS103" i="1"/>
  <c r="DT103" i="1" s="1"/>
  <c r="DS102" i="1"/>
  <c r="DT102" i="1" s="1"/>
  <c r="DS101" i="1"/>
  <c r="DT101" i="1" s="1"/>
  <c r="DS100" i="1"/>
  <c r="DT100" i="1" s="1"/>
  <c r="DS99" i="1"/>
  <c r="DT99" i="1" s="1"/>
  <c r="DS98" i="1"/>
  <c r="DT98" i="1" s="1"/>
  <c r="DS97" i="1"/>
  <c r="DT97" i="1" s="1"/>
  <c r="DS96" i="1"/>
  <c r="DT96" i="1" s="1"/>
  <c r="DS95" i="1"/>
  <c r="DT95" i="1" s="1"/>
  <c r="DS94" i="1"/>
  <c r="DT94" i="1" s="1"/>
  <c r="DS93" i="1"/>
  <c r="DT93" i="1" s="1"/>
  <c r="DS92" i="1"/>
  <c r="DT92" i="1" s="1"/>
  <c r="DS91" i="1"/>
  <c r="DT91" i="1" s="1"/>
  <c r="DS90" i="1"/>
  <c r="DT90" i="1" s="1"/>
  <c r="DS89" i="1"/>
  <c r="DT89" i="1" s="1"/>
  <c r="DS88" i="1"/>
  <c r="DT88" i="1" s="1"/>
  <c r="DS87" i="1"/>
  <c r="DT87" i="1" s="1"/>
  <c r="DS86" i="1"/>
  <c r="DT86" i="1" s="1"/>
  <c r="DS85" i="1"/>
  <c r="DT85" i="1" s="1"/>
  <c r="DS84" i="1"/>
  <c r="DT84" i="1" s="1"/>
  <c r="DS83" i="1"/>
  <c r="DT83" i="1" s="1"/>
  <c r="DS82" i="1"/>
  <c r="DT82" i="1" s="1"/>
  <c r="DS81" i="1"/>
  <c r="DT81" i="1" s="1"/>
  <c r="DS80" i="1"/>
  <c r="DT80" i="1" s="1"/>
  <c r="DS79" i="1"/>
  <c r="DT79" i="1" s="1"/>
  <c r="DS78" i="1"/>
  <c r="DT78" i="1" s="1"/>
  <c r="DS77" i="1"/>
  <c r="DT77" i="1" s="1"/>
  <c r="DS76" i="1"/>
  <c r="DT76" i="1" s="1"/>
  <c r="DS75" i="1"/>
  <c r="DT75" i="1" s="1"/>
  <c r="DS74" i="1"/>
  <c r="DT74" i="1" s="1"/>
  <c r="DS73" i="1"/>
  <c r="DT73" i="1" s="1"/>
  <c r="DS72" i="1"/>
  <c r="DT72" i="1" s="1"/>
  <c r="DS71" i="1"/>
  <c r="DT71" i="1" s="1"/>
  <c r="DS70" i="1"/>
  <c r="DT70" i="1" s="1"/>
  <c r="DS69" i="1"/>
  <c r="DT69" i="1" s="1"/>
  <c r="DS68" i="1"/>
  <c r="DT68" i="1" s="1"/>
  <c r="DS67" i="1"/>
  <c r="DT67" i="1" s="1"/>
  <c r="DS66" i="1"/>
  <c r="DT66" i="1" s="1"/>
  <c r="DS65" i="1"/>
  <c r="DT65" i="1" s="1"/>
  <c r="DS64" i="1"/>
  <c r="DT64" i="1" s="1"/>
  <c r="DS63" i="1"/>
  <c r="DT63" i="1" s="1"/>
  <c r="DS62" i="1"/>
  <c r="DT62" i="1" s="1"/>
  <c r="DS61" i="1"/>
  <c r="DT61" i="1" s="1"/>
  <c r="DS60" i="1"/>
  <c r="DT60" i="1" s="1"/>
  <c r="DS59" i="1"/>
  <c r="DT59" i="1" s="1"/>
  <c r="DS58" i="1"/>
  <c r="DT58" i="1" s="1"/>
  <c r="DS57" i="1"/>
  <c r="DT57" i="1" s="1"/>
  <c r="DS56" i="1"/>
  <c r="DT56" i="1" s="1"/>
  <c r="DS55" i="1"/>
  <c r="DT55" i="1" s="1"/>
  <c r="DS54" i="1"/>
  <c r="DT54" i="1" s="1"/>
  <c r="DS53" i="1"/>
  <c r="DT53" i="1" s="1"/>
  <c r="DS52" i="1"/>
  <c r="DT52" i="1" s="1"/>
  <c r="DS51" i="1"/>
  <c r="DT51" i="1" s="1"/>
  <c r="DS50" i="1"/>
  <c r="DT50" i="1" s="1"/>
  <c r="DS49" i="1"/>
  <c r="DT49" i="1" s="1"/>
  <c r="DS48" i="1"/>
  <c r="DT48" i="1" s="1"/>
  <c r="DS47" i="1"/>
  <c r="DT47" i="1" s="1"/>
  <c r="DS46" i="1"/>
  <c r="DT46" i="1" s="1"/>
  <c r="DS45" i="1"/>
  <c r="DT45" i="1" s="1"/>
  <c r="DS44" i="1"/>
  <c r="DT44" i="1" s="1"/>
  <c r="DS43" i="1"/>
  <c r="DT43" i="1" s="1"/>
  <c r="DS42" i="1"/>
  <c r="DT42" i="1" s="1"/>
  <c r="DS41" i="1"/>
  <c r="DT41" i="1" s="1"/>
  <c r="DS40" i="1"/>
  <c r="DT40" i="1" s="1"/>
  <c r="DS39" i="1"/>
  <c r="DT39" i="1" s="1"/>
  <c r="DS38" i="1"/>
  <c r="DT38" i="1" s="1"/>
  <c r="DS37" i="1"/>
  <c r="DT37" i="1" s="1"/>
  <c r="DS36" i="1"/>
  <c r="DT36" i="1" s="1"/>
  <c r="DS35" i="1"/>
  <c r="DT35" i="1" s="1"/>
  <c r="DS34" i="1"/>
  <c r="DT34" i="1" s="1"/>
  <c r="DS33" i="1"/>
  <c r="DT33" i="1" s="1"/>
  <c r="DS32" i="1"/>
  <c r="DT32" i="1" s="1"/>
  <c r="DS31" i="1"/>
  <c r="DT31" i="1" s="1"/>
  <c r="DS30" i="1"/>
  <c r="DT30" i="1" s="1"/>
  <c r="DS29" i="1"/>
  <c r="DT29" i="1" s="1"/>
  <c r="DS28" i="1"/>
  <c r="DT28" i="1" s="1"/>
  <c r="DS27" i="1"/>
  <c r="DT27" i="1" s="1"/>
  <c r="DS26" i="1"/>
  <c r="DT26" i="1" s="1"/>
  <c r="DS25" i="1"/>
  <c r="DT25" i="1" s="1"/>
  <c r="DS24" i="1"/>
  <c r="DT24" i="1" s="1"/>
  <c r="DS23" i="1"/>
  <c r="DT23" i="1" s="1"/>
  <c r="DS22" i="1"/>
  <c r="DT22" i="1" s="1"/>
  <c r="DS21" i="1"/>
  <c r="DT21" i="1" s="1"/>
  <c r="DS20" i="1"/>
  <c r="DT20" i="1" s="1"/>
  <c r="DS19" i="1"/>
  <c r="DT19" i="1" s="1"/>
  <c r="DS18" i="1"/>
  <c r="DT18" i="1" s="1"/>
  <c r="DS17" i="1"/>
  <c r="DT17" i="1" s="1"/>
  <c r="DS16" i="1"/>
  <c r="DT16" i="1" s="1"/>
  <c r="DS15" i="1"/>
  <c r="DT15" i="1" s="1"/>
  <c r="DS14" i="1"/>
  <c r="DT14" i="1" s="1"/>
  <c r="DS13" i="1"/>
  <c r="DT13" i="1" s="1"/>
  <c r="DS12" i="1"/>
  <c r="DT12" i="1" s="1"/>
  <c r="DS11" i="1"/>
  <c r="DT11" i="1" s="1"/>
  <c r="DS10" i="1"/>
  <c r="DT10" i="1" s="1"/>
  <c r="DS9" i="1"/>
  <c r="DT9" i="1" s="1"/>
  <c r="DS8" i="1"/>
  <c r="DT8" i="1" s="1"/>
  <c r="DS7" i="1"/>
  <c r="DT7" i="1" s="1"/>
  <c r="DS6" i="1"/>
  <c r="DT6" i="1" s="1"/>
  <c r="DS5" i="1"/>
  <c r="DT5" i="1" s="1"/>
  <c r="DI5" i="1"/>
  <c r="DI154" i="1"/>
  <c r="DI153" i="1"/>
  <c r="DI152" i="1"/>
  <c r="DI151" i="1"/>
  <c r="DI150" i="1"/>
  <c r="DI149" i="1"/>
  <c r="DI148" i="1"/>
  <c r="DI147" i="1"/>
  <c r="DI146" i="1"/>
  <c r="DI145" i="1"/>
  <c r="DI144" i="1"/>
  <c r="DI143" i="1"/>
  <c r="DI142" i="1"/>
  <c r="DI141" i="1"/>
  <c r="DI140" i="1"/>
  <c r="DI139" i="1"/>
  <c r="DI138" i="1"/>
  <c r="DI137" i="1"/>
  <c r="DI136" i="1"/>
  <c r="DI135" i="1"/>
  <c r="DI134" i="1"/>
  <c r="DI133" i="1"/>
  <c r="DI132" i="1"/>
  <c r="DI131" i="1"/>
  <c r="DI130" i="1"/>
  <c r="DI129" i="1"/>
  <c r="DI128" i="1"/>
  <c r="DI127" i="1"/>
  <c r="DI126" i="1"/>
  <c r="DI125" i="1"/>
  <c r="DI124" i="1"/>
  <c r="DI123" i="1"/>
  <c r="DI122" i="1"/>
  <c r="DI121" i="1"/>
  <c r="DI120" i="1"/>
  <c r="DI119" i="1"/>
  <c r="DI118" i="1"/>
  <c r="DI117" i="1"/>
  <c r="DI116" i="1"/>
  <c r="DI115" i="1"/>
  <c r="DI114" i="1"/>
  <c r="DI113" i="1"/>
  <c r="DI112" i="1"/>
  <c r="DI111" i="1"/>
  <c r="DI110" i="1"/>
  <c r="DI109" i="1"/>
  <c r="DI108" i="1"/>
  <c r="DI107" i="1"/>
  <c r="DI106" i="1"/>
  <c r="DI105" i="1"/>
  <c r="DI104" i="1"/>
  <c r="DI103" i="1"/>
  <c r="DI102" i="1"/>
  <c r="DI101" i="1"/>
  <c r="DI100" i="1"/>
  <c r="DI99" i="1"/>
  <c r="DI98" i="1"/>
  <c r="DI97" i="1"/>
  <c r="DI96" i="1"/>
  <c r="DI95" i="1"/>
  <c r="DI94" i="1"/>
  <c r="DI93" i="1"/>
  <c r="DI92" i="1"/>
  <c r="DI91" i="1"/>
  <c r="DI90" i="1"/>
  <c r="DI89" i="1"/>
  <c r="DI88" i="1"/>
  <c r="DI87" i="1"/>
  <c r="DI86" i="1"/>
  <c r="DI85" i="1"/>
  <c r="DI84" i="1"/>
  <c r="DI83" i="1"/>
  <c r="DI82" i="1"/>
  <c r="DI81" i="1"/>
  <c r="DI80" i="1"/>
  <c r="DI79" i="1"/>
  <c r="DI78" i="1"/>
  <c r="DI77" i="1"/>
  <c r="DI76" i="1"/>
  <c r="DI75" i="1"/>
  <c r="DI74" i="1"/>
  <c r="DI73" i="1"/>
  <c r="DI72" i="1"/>
  <c r="DI71" i="1"/>
  <c r="DI70" i="1"/>
  <c r="DI69" i="1"/>
  <c r="DI68" i="1"/>
  <c r="DI67" i="1"/>
  <c r="DI66" i="1"/>
  <c r="DI65" i="1"/>
  <c r="DI64" i="1"/>
  <c r="DI63" i="1"/>
  <c r="DI62" i="1"/>
  <c r="DI61" i="1"/>
  <c r="DI60" i="1"/>
  <c r="DI59" i="1"/>
  <c r="DI58" i="1"/>
  <c r="DI57" i="1"/>
  <c r="DI56" i="1"/>
  <c r="DI55" i="1"/>
  <c r="DI54" i="1"/>
  <c r="DI53" i="1"/>
  <c r="DI52" i="1"/>
  <c r="DI51" i="1"/>
  <c r="DI50" i="1"/>
  <c r="DI49" i="1"/>
  <c r="DI48" i="1"/>
  <c r="DI47" i="1"/>
  <c r="DI46" i="1"/>
  <c r="DI45" i="1"/>
  <c r="DI44" i="1"/>
  <c r="DI43" i="1"/>
  <c r="DI42" i="1"/>
  <c r="DI41" i="1"/>
  <c r="DI40" i="1"/>
  <c r="DI39" i="1"/>
  <c r="DI38" i="1"/>
  <c r="DI37" i="1"/>
  <c r="DI36" i="1"/>
  <c r="DI35" i="1"/>
  <c r="DI34" i="1"/>
  <c r="DI33" i="1"/>
  <c r="DI32" i="1"/>
  <c r="DI31" i="1"/>
  <c r="DI30" i="1"/>
  <c r="DI29" i="1"/>
  <c r="DI28" i="1"/>
  <c r="DI27" i="1"/>
  <c r="DI26" i="1"/>
  <c r="DI25" i="1"/>
  <c r="DI24" i="1"/>
  <c r="DI23" i="1"/>
  <c r="DI22" i="1"/>
  <c r="DI21" i="1"/>
  <c r="DI20" i="1"/>
  <c r="DI19" i="1"/>
  <c r="DI18" i="1"/>
  <c r="DI17" i="1"/>
  <c r="DI16" i="1"/>
  <c r="DI15" i="1"/>
  <c r="DI14" i="1"/>
  <c r="DI13" i="1"/>
  <c r="DI12" i="1"/>
  <c r="DI11" i="1"/>
  <c r="DI10" i="1"/>
  <c r="DI9" i="1"/>
  <c r="DI8" i="1"/>
  <c r="DI7" i="1"/>
  <c r="DI6" i="1"/>
  <c r="CN5" i="1"/>
  <c r="M164" i="33"/>
  <c r="M163" i="33"/>
  <c r="M162" i="33"/>
  <c r="M161" i="33"/>
  <c r="M160" i="33"/>
  <c r="M159" i="33"/>
  <c r="M158" i="33"/>
  <c r="M157" i="33"/>
  <c r="M156" i="33"/>
  <c r="M155" i="33"/>
  <c r="M154" i="33"/>
  <c r="M153" i="33"/>
  <c r="M152" i="33"/>
  <c r="M151" i="33"/>
  <c r="M150" i="33"/>
  <c r="M149" i="33"/>
  <c r="M148" i="33"/>
  <c r="M147" i="33"/>
  <c r="M146" i="33"/>
  <c r="M145" i="33"/>
  <c r="M144" i="33"/>
  <c r="M143" i="33"/>
  <c r="M142" i="33"/>
  <c r="M141" i="33"/>
  <c r="M140" i="33"/>
  <c r="M139" i="33"/>
  <c r="M138" i="33"/>
  <c r="M137" i="33"/>
  <c r="M136" i="33"/>
  <c r="M135" i="33"/>
  <c r="M134" i="33"/>
  <c r="M133" i="33"/>
  <c r="M132" i="33"/>
  <c r="M131" i="33"/>
  <c r="M130" i="33"/>
  <c r="M129" i="33"/>
  <c r="M128" i="33"/>
  <c r="M127" i="33"/>
  <c r="M126" i="33"/>
  <c r="M125" i="33"/>
  <c r="M124" i="33"/>
  <c r="M123" i="33"/>
  <c r="M122" i="33"/>
  <c r="M121" i="33"/>
  <c r="M120" i="33"/>
  <c r="M119" i="33"/>
  <c r="M118" i="33"/>
  <c r="M117" i="33"/>
  <c r="M116" i="33"/>
  <c r="M115" i="33"/>
  <c r="M114" i="33"/>
  <c r="M113" i="33"/>
  <c r="M112" i="33"/>
  <c r="M111" i="33"/>
  <c r="M110" i="33"/>
  <c r="M109" i="33"/>
  <c r="M108" i="33"/>
  <c r="M107" i="33"/>
  <c r="M106" i="33"/>
  <c r="M105" i="33"/>
  <c r="M104" i="33"/>
  <c r="M103" i="33"/>
  <c r="M102" i="33"/>
  <c r="M101" i="33"/>
  <c r="M100" i="33"/>
  <c r="M99" i="33"/>
  <c r="M98" i="33"/>
  <c r="M97" i="33"/>
  <c r="M96" i="33"/>
  <c r="M95" i="33"/>
  <c r="M94" i="33"/>
  <c r="M93" i="33"/>
  <c r="M92" i="33"/>
  <c r="M91" i="33"/>
  <c r="M90" i="33"/>
  <c r="M89" i="33"/>
  <c r="M88" i="33"/>
  <c r="M87" i="33"/>
  <c r="M86" i="33"/>
  <c r="M85" i="33"/>
  <c r="M84" i="33"/>
  <c r="M83" i="33"/>
  <c r="M82" i="33"/>
  <c r="M81" i="33"/>
  <c r="M80" i="33"/>
  <c r="M79" i="33"/>
  <c r="M78" i="33"/>
  <c r="M77" i="33"/>
  <c r="M76" i="33"/>
  <c r="M75" i="33"/>
  <c r="M74" i="33"/>
  <c r="M73" i="33"/>
  <c r="M72" i="33"/>
  <c r="M71" i="33"/>
  <c r="M70" i="33"/>
  <c r="M69" i="33"/>
  <c r="M68" i="33"/>
  <c r="M67" i="33"/>
  <c r="M66" i="33"/>
  <c r="M65" i="33"/>
  <c r="M64" i="33"/>
  <c r="M63" i="33"/>
  <c r="M62" i="33"/>
  <c r="M61" i="33"/>
  <c r="M60" i="33"/>
  <c r="M59" i="33"/>
  <c r="M58" i="33"/>
  <c r="M57" i="33"/>
  <c r="M56" i="33"/>
  <c r="M55" i="33"/>
  <c r="M54" i="33"/>
  <c r="M53" i="33"/>
  <c r="M52" i="33"/>
  <c r="M51" i="33"/>
  <c r="M50" i="33"/>
  <c r="M49" i="33"/>
  <c r="M48" i="33"/>
  <c r="M47" i="33"/>
  <c r="M46" i="33"/>
  <c r="M45" i="33"/>
  <c r="M44" i="33"/>
  <c r="M43" i="33"/>
  <c r="M42" i="33"/>
  <c r="M41" i="33"/>
  <c r="M40" i="33"/>
  <c r="M39" i="33"/>
  <c r="M38" i="33"/>
  <c r="M37" i="33"/>
  <c r="M36" i="33"/>
  <c r="M35" i="33"/>
  <c r="M34" i="33"/>
  <c r="M33" i="33"/>
  <c r="M32" i="33"/>
  <c r="M31" i="33"/>
  <c r="M30" i="33"/>
  <c r="M29" i="33"/>
  <c r="M28" i="33"/>
  <c r="M27" i="33"/>
  <c r="M26" i="33"/>
  <c r="M25" i="33"/>
  <c r="M24" i="33"/>
  <c r="M23" i="33"/>
  <c r="M22" i="33"/>
  <c r="M21" i="33"/>
  <c r="M20" i="33"/>
  <c r="M19" i="33"/>
  <c r="M18" i="33"/>
  <c r="M17" i="33"/>
  <c r="M16" i="33"/>
  <c r="M15" i="33"/>
  <c r="L164" i="33"/>
  <c r="K164" i="33"/>
  <c r="L163" i="33"/>
  <c r="K163" i="33"/>
  <c r="L162" i="33"/>
  <c r="K162" i="33"/>
  <c r="L161" i="33"/>
  <c r="K161" i="33"/>
  <c r="L160" i="33"/>
  <c r="K160" i="33"/>
  <c r="L159" i="33"/>
  <c r="K159" i="33"/>
  <c r="L158" i="33"/>
  <c r="K158" i="33"/>
  <c r="L157" i="33"/>
  <c r="K157" i="33"/>
  <c r="L156" i="33"/>
  <c r="K156" i="33"/>
  <c r="L155" i="33"/>
  <c r="K155" i="33"/>
  <c r="L154" i="33"/>
  <c r="K154" i="33"/>
  <c r="L153" i="33"/>
  <c r="K153" i="33"/>
  <c r="L152" i="33"/>
  <c r="K152" i="33"/>
  <c r="L151" i="33"/>
  <c r="K151" i="33"/>
  <c r="L150" i="33"/>
  <c r="K150" i="33"/>
  <c r="L149" i="33"/>
  <c r="K149" i="33"/>
  <c r="L148" i="33"/>
  <c r="K148" i="33"/>
  <c r="L147" i="33"/>
  <c r="K147" i="33"/>
  <c r="L146" i="33"/>
  <c r="K146" i="33"/>
  <c r="L145" i="33"/>
  <c r="K145" i="33"/>
  <c r="L144" i="33"/>
  <c r="K144" i="33"/>
  <c r="L143" i="33"/>
  <c r="K143" i="33"/>
  <c r="L142" i="33"/>
  <c r="K142" i="33"/>
  <c r="L141" i="33"/>
  <c r="K141" i="33"/>
  <c r="L140" i="33"/>
  <c r="K140" i="33"/>
  <c r="L139" i="33"/>
  <c r="K139" i="33"/>
  <c r="L138" i="33"/>
  <c r="K138" i="33"/>
  <c r="L137" i="33"/>
  <c r="K137" i="33"/>
  <c r="L136" i="33"/>
  <c r="K136" i="33"/>
  <c r="L135" i="33"/>
  <c r="K135" i="33"/>
  <c r="L134" i="33"/>
  <c r="K134" i="33"/>
  <c r="L133" i="33"/>
  <c r="K133" i="33"/>
  <c r="L132" i="33"/>
  <c r="K132" i="33"/>
  <c r="L131" i="33"/>
  <c r="K131" i="33"/>
  <c r="L130" i="33"/>
  <c r="K130" i="33"/>
  <c r="L129" i="33"/>
  <c r="K129" i="33"/>
  <c r="L128" i="33"/>
  <c r="K128" i="33"/>
  <c r="L127" i="33"/>
  <c r="K127" i="33"/>
  <c r="L126" i="33"/>
  <c r="K126" i="33"/>
  <c r="L125" i="33"/>
  <c r="K125" i="33"/>
  <c r="L124" i="33"/>
  <c r="K124" i="33"/>
  <c r="L123" i="33"/>
  <c r="K123" i="33"/>
  <c r="L122" i="33"/>
  <c r="K122" i="33"/>
  <c r="L121" i="33"/>
  <c r="K121" i="33"/>
  <c r="L120" i="33"/>
  <c r="K120" i="33"/>
  <c r="L119" i="33"/>
  <c r="K119" i="33"/>
  <c r="L118" i="33"/>
  <c r="K118" i="33"/>
  <c r="L117" i="33"/>
  <c r="K117" i="33"/>
  <c r="L116" i="33"/>
  <c r="K116" i="33"/>
  <c r="L115" i="33"/>
  <c r="K115" i="33"/>
  <c r="L114" i="33"/>
  <c r="K114" i="33"/>
  <c r="L113" i="33"/>
  <c r="K113" i="33"/>
  <c r="L112" i="33"/>
  <c r="K112" i="33"/>
  <c r="L111" i="33"/>
  <c r="K111" i="33"/>
  <c r="L110" i="33"/>
  <c r="K110" i="33"/>
  <c r="L109" i="33"/>
  <c r="K109" i="33"/>
  <c r="L108" i="33"/>
  <c r="K108" i="33"/>
  <c r="L107" i="33"/>
  <c r="K107" i="33"/>
  <c r="L106" i="33"/>
  <c r="K106" i="33"/>
  <c r="L105" i="33"/>
  <c r="K105" i="33"/>
  <c r="L104" i="33"/>
  <c r="K104" i="33"/>
  <c r="L103" i="33"/>
  <c r="K103" i="33"/>
  <c r="L102" i="33"/>
  <c r="K102" i="33"/>
  <c r="L101" i="33"/>
  <c r="K101" i="33"/>
  <c r="L100" i="33"/>
  <c r="K100" i="33"/>
  <c r="L99" i="33"/>
  <c r="K99" i="33"/>
  <c r="L98" i="33"/>
  <c r="K98" i="33"/>
  <c r="L97" i="33"/>
  <c r="K97" i="33"/>
  <c r="L96" i="33"/>
  <c r="K96" i="33"/>
  <c r="L95" i="33"/>
  <c r="K95" i="33"/>
  <c r="L94" i="33"/>
  <c r="K94" i="33"/>
  <c r="L93" i="33"/>
  <c r="K93" i="33"/>
  <c r="L92" i="33"/>
  <c r="K92" i="33"/>
  <c r="L91" i="33"/>
  <c r="K91" i="33"/>
  <c r="L90" i="33"/>
  <c r="K90" i="33"/>
  <c r="L89" i="33"/>
  <c r="K89" i="33"/>
  <c r="L88" i="33"/>
  <c r="K88" i="33"/>
  <c r="L87" i="33"/>
  <c r="K87" i="33"/>
  <c r="L86" i="33"/>
  <c r="K86" i="33"/>
  <c r="L85" i="33"/>
  <c r="K85" i="33"/>
  <c r="L84" i="33"/>
  <c r="K84" i="33"/>
  <c r="L83" i="33"/>
  <c r="K83" i="33"/>
  <c r="L82" i="33"/>
  <c r="K82" i="33"/>
  <c r="L81" i="33"/>
  <c r="K81" i="33"/>
  <c r="L80" i="33"/>
  <c r="K80" i="33"/>
  <c r="L79" i="33"/>
  <c r="K79" i="33"/>
  <c r="L78" i="33"/>
  <c r="K78" i="33"/>
  <c r="L77" i="33"/>
  <c r="K77" i="33"/>
  <c r="L76" i="33"/>
  <c r="K76" i="33"/>
  <c r="L75" i="33"/>
  <c r="K75" i="33"/>
  <c r="L74" i="33"/>
  <c r="K74" i="33"/>
  <c r="L73" i="33"/>
  <c r="K73" i="33"/>
  <c r="L72" i="33"/>
  <c r="K72" i="33"/>
  <c r="L71" i="33"/>
  <c r="K71" i="33"/>
  <c r="L70" i="33"/>
  <c r="K70" i="33"/>
  <c r="L69" i="33"/>
  <c r="K69" i="33"/>
  <c r="L68" i="33"/>
  <c r="K68" i="33"/>
  <c r="L67" i="33"/>
  <c r="K67" i="33"/>
  <c r="L66" i="33"/>
  <c r="K66" i="33"/>
  <c r="L65" i="33"/>
  <c r="K65" i="33"/>
  <c r="L64" i="33"/>
  <c r="K64" i="33"/>
  <c r="L63" i="33"/>
  <c r="K63" i="33"/>
  <c r="L62" i="33"/>
  <c r="K62" i="33"/>
  <c r="L61" i="33"/>
  <c r="K61" i="33"/>
  <c r="L60" i="33"/>
  <c r="K60" i="33"/>
  <c r="L59" i="33"/>
  <c r="K59" i="33"/>
  <c r="L58" i="33"/>
  <c r="K58" i="33"/>
  <c r="L57" i="33"/>
  <c r="K57" i="33"/>
  <c r="L56" i="33"/>
  <c r="K56" i="33"/>
  <c r="L55" i="33"/>
  <c r="K55" i="33"/>
  <c r="L54" i="33"/>
  <c r="K54" i="33"/>
  <c r="L53" i="33"/>
  <c r="K53" i="33"/>
  <c r="L52" i="33"/>
  <c r="K52" i="33"/>
  <c r="L51" i="33"/>
  <c r="K51" i="33"/>
  <c r="L50" i="33"/>
  <c r="K50" i="33"/>
  <c r="L49" i="33"/>
  <c r="K49" i="33"/>
  <c r="L48" i="33"/>
  <c r="K48" i="33"/>
  <c r="L47" i="33"/>
  <c r="K47" i="33"/>
  <c r="L46" i="33"/>
  <c r="K46" i="33"/>
  <c r="L45" i="33"/>
  <c r="K45" i="33"/>
  <c r="L44" i="33"/>
  <c r="K44" i="33"/>
  <c r="L43" i="33"/>
  <c r="K43" i="33"/>
  <c r="L42" i="33"/>
  <c r="K42" i="33"/>
  <c r="L41" i="33"/>
  <c r="K41" i="33"/>
  <c r="L40" i="33"/>
  <c r="K40" i="33"/>
  <c r="L39" i="33"/>
  <c r="K39" i="33"/>
  <c r="L38" i="33"/>
  <c r="K38" i="33"/>
  <c r="L37" i="33"/>
  <c r="K37" i="33"/>
  <c r="L36" i="33"/>
  <c r="K36" i="33"/>
  <c r="L35" i="33"/>
  <c r="K35" i="33"/>
  <c r="L34" i="33"/>
  <c r="K34" i="33"/>
  <c r="L33" i="33"/>
  <c r="K33" i="33"/>
  <c r="L32" i="33"/>
  <c r="K32" i="33"/>
  <c r="L31" i="33"/>
  <c r="K31" i="33"/>
  <c r="L30" i="33"/>
  <c r="K30" i="33"/>
  <c r="L29" i="33"/>
  <c r="K29" i="33"/>
  <c r="L28" i="33"/>
  <c r="K28" i="33"/>
  <c r="L27" i="33"/>
  <c r="K27" i="33"/>
  <c r="L26" i="33"/>
  <c r="K26" i="33"/>
  <c r="L25" i="33"/>
  <c r="K25" i="33"/>
  <c r="L24" i="33"/>
  <c r="K24" i="33"/>
  <c r="L23" i="33"/>
  <c r="K23" i="33"/>
  <c r="L22" i="33"/>
  <c r="K22" i="33"/>
  <c r="L21" i="33"/>
  <c r="K21" i="33"/>
  <c r="L20" i="33"/>
  <c r="K20" i="33"/>
  <c r="L19" i="33"/>
  <c r="K19" i="33"/>
  <c r="L18" i="33"/>
  <c r="K18" i="33"/>
  <c r="L17" i="33"/>
  <c r="K17" i="33"/>
  <c r="L16" i="33"/>
  <c r="K16" i="33"/>
  <c r="L15" i="33"/>
  <c r="K15" i="33"/>
  <c r="CX154" i="1"/>
  <c r="CY154" i="1" s="1"/>
  <c r="CX153" i="1"/>
  <c r="CY153" i="1" s="1"/>
  <c r="CX152" i="1"/>
  <c r="CY152" i="1" s="1"/>
  <c r="CX151" i="1"/>
  <c r="CY151" i="1" s="1"/>
  <c r="CX150" i="1"/>
  <c r="CY150" i="1" s="1"/>
  <c r="CX149" i="1"/>
  <c r="CY149" i="1" s="1"/>
  <c r="CX148" i="1"/>
  <c r="CY148" i="1" s="1"/>
  <c r="CX147" i="1"/>
  <c r="CY147" i="1" s="1"/>
  <c r="CX146" i="1"/>
  <c r="CY146" i="1" s="1"/>
  <c r="CX145" i="1"/>
  <c r="CY145" i="1" s="1"/>
  <c r="CX144" i="1"/>
  <c r="CY144" i="1" s="1"/>
  <c r="CX143" i="1"/>
  <c r="CY143" i="1" s="1"/>
  <c r="CX142" i="1"/>
  <c r="CY142" i="1" s="1"/>
  <c r="CX141" i="1"/>
  <c r="CY141" i="1" s="1"/>
  <c r="CX140" i="1"/>
  <c r="CY140" i="1" s="1"/>
  <c r="CX139" i="1"/>
  <c r="CY139" i="1" s="1"/>
  <c r="CX138" i="1"/>
  <c r="CY138" i="1" s="1"/>
  <c r="CX137" i="1"/>
  <c r="CY137" i="1" s="1"/>
  <c r="CX136" i="1"/>
  <c r="CY136" i="1" s="1"/>
  <c r="CX135" i="1"/>
  <c r="CY135" i="1" s="1"/>
  <c r="CX134" i="1"/>
  <c r="CY134" i="1" s="1"/>
  <c r="CX133" i="1"/>
  <c r="CY133" i="1" s="1"/>
  <c r="CX132" i="1"/>
  <c r="CY132" i="1" s="1"/>
  <c r="CX131" i="1"/>
  <c r="CY131" i="1" s="1"/>
  <c r="CX130" i="1"/>
  <c r="CY130" i="1" s="1"/>
  <c r="CX129" i="1"/>
  <c r="CY129" i="1" s="1"/>
  <c r="CX128" i="1"/>
  <c r="CY128" i="1" s="1"/>
  <c r="CX127" i="1"/>
  <c r="CY127" i="1" s="1"/>
  <c r="CX126" i="1"/>
  <c r="CY126" i="1" s="1"/>
  <c r="CX125" i="1"/>
  <c r="CY125" i="1" s="1"/>
  <c r="CX124" i="1"/>
  <c r="CY124" i="1" s="1"/>
  <c r="CX123" i="1"/>
  <c r="CY123" i="1" s="1"/>
  <c r="CX122" i="1"/>
  <c r="CY122" i="1" s="1"/>
  <c r="CX121" i="1"/>
  <c r="CY121" i="1" s="1"/>
  <c r="CX120" i="1"/>
  <c r="CY120" i="1" s="1"/>
  <c r="CX119" i="1"/>
  <c r="CY119" i="1" s="1"/>
  <c r="CX118" i="1"/>
  <c r="CY118" i="1" s="1"/>
  <c r="CX117" i="1"/>
  <c r="CY117" i="1" s="1"/>
  <c r="CX116" i="1"/>
  <c r="CY116" i="1" s="1"/>
  <c r="CX115" i="1"/>
  <c r="CY115" i="1" s="1"/>
  <c r="CX114" i="1"/>
  <c r="CY114" i="1" s="1"/>
  <c r="CX113" i="1"/>
  <c r="CY113" i="1" s="1"/>
  <c r="CX112" i="1"/>
  <c r="CY112" i="1" s="1"/>
  <c r="CX111" i="1"/>
  <c r="CY111" i="1" s="1"/>
  <c r="CX110" i="1"/>
  <c r="CY110" i="1" s="1"/>
  <c r="CX109" i="1"/>
  <c r="CY109" i="1" s="1"/>
  <c r="CX108" i="1"/>
  <c r="CY108" i="1" s="1"/>
  <c r="CX107" i="1"/>
  <c r="CY107" i="1" s="1"/>
  <c r="CX106" i="1"/>
  <c r="CY106" i="1" s="1"/>
  <c r="CX105" i="1"/>
  <c r="CY105" i="1" s="1"/>
  <c r="CX104" i="1"/>
  <c r="CY104" i="1" s="1"/>
  <c r="CX103" i="1"/>
  <c r="CY103" i="1" s="1"/>
  <c r="CX102" i="1"/>
  <c r="CY102" i="1" s="1"/>
  <c r="CX101" i="1"/>
  <c r="CY101" i="1" s="1"/>
  <c r="CX100" i="1"/>
  <c r="CY100" i="1" s="1"/>
  <c r="CX99" i="1"/>
  <c r="CY99" i="1" s="1"/>
  <c r="CX98" i="1"/>
  <c r="CY98" i="1" s="1"/>
  <c r="CX97" i="1"/>
  <c r="CY97" i="1" s="1"/>
  <c r="CX96" i="1"/>
  <c r="CY96" i="1" s="1"/>
  <c r="CX95" i="1"/>
  <c r="CY95" i="1" s="1"/>
  <c r="CX94" i="1"/>
  <c r="CY94" i="1" s="1"/>
  <c r="CX93" i="1"/>
  <c r="CY93" i="1" s="1"/>
  <c r="CX92" i="1"/>
  <c r="CY92" i="1" s="1"/>
  <c r="CX91" i="1"/>
  <c r="CY91" i="1" s="1"/>
  <c r="CX90" i="1"/>
  <c r="CY90" i="1" s="1"/>
  <c r="CX89" i="1"/>
  <c r="CY89" i="1" s="1"/>
  <c r="CX88" i="1"/>
  <c r="CY88" i="1" s="1"/>
  <c r="CX87" i="1"/>
  <c r="CY87" i="1" s="1"/>
  <c r="CX86" i="1"/>
  <c r="CY86" i="1" s="1"/>
  <c r="CX85" i="1"/>
  <c r="CY85" i="1" s="1"/>
  <c r="CX84" i="1"/>
  <c r="CY84" i="1" s="1"/>
  <c r="CX83" i="1"/>
  <c r="CY83" i="1" s="1"/>
  <c r="CX82" i="1"/>
  <c r="CY82" i="1" s="1"/>
  <c r="CX81" i="1"/>
  <c r="CY81" i="1" s="1"/>
  <c r="CX80" i="1"/>
  <c r="CY80" i="1" s="1"/>
  <c r="CX79" i="1"/>
  <c r="CY79" i="1" s="1"/>
  <c r="CX78" i="1"/>
  <c r="CY78" i="1" s="1"/>
  <c r="CX77" i="1"/>
  <c r="CY77" i="1" s="1"/>
  <c r="CX76" i="1"/>
  <c r="CY76" i="1" s="1"/>
  <c r="CX75" i="1"/>
  <c r="CY75" i="1" s="1"/>
  <c r="CX74" i="1"/>
  <c r="CY74" i="1" s="1"/>
  <c r="CX73" i="1"/>
  <c r="CY73" i="1" s="1"/>
  <c r="CX72" i="1"/>
  <c r="CY72" i="1" s="1"/>
  <c r="CX71" i="1"/>
  <c r="CY71" i="1" s="1"/>
  <c r="CX70" i="1"/>
  <c r="CY70" i="1" s="1"/>
  <c r="CX69" i="1"/>
  <c r="CY69" i="1" s="1"/>
  <c r="CX68" i="1"/>
  <c r="CY68" i="1" s="1"/>
  <c r="CX67" i="1"/>
  <c r="CY67" i="1" s="1"/>
  <c r="CX66" i="1"/>
  <c r="CY66" i="1" s="1"/>
  <c r="CX65" i="1"/>
  <c r="CY65" i="1" s="1"/>
  <c r="CX64" i="1"/>
  <c r="CY64" i="1" s="1"/>
  <c r="CX63" i="1"/>
  <c r="CY63" i="1" s="1"/>
  <c r="CX62" i="1"/>
  <c r="CY62" i="1" s="1"/>
  <c r="CX61" i="1"/>
  <c r="CY61" i="1" s="1"/>
  <c r="CX60" i="1"/>
  <c r="CY60" i="1" s="1"/>
  <c r="CX59" i="1"/>
  <c r="CY59" i="1" s="1"/>
  <c r="CX58" i="1"/>
  <c r="CY58" i="1" s="1"/>
  <c r="CX57" i="1"/>
  <c r="CY57" i="1" s="1"/>
  <c r="CX56" i="1"/>
  <c r="CY56" i="1" s="1"/>
  <c r="CX55" i="1"/>
  <c r="CY55" i="1" s="1"/>
  <c r="CX54" i="1"/>
  <c r="CY54" i="1" s="1"/>
  <c r="CX53" i="1"/>
  <c r="CY53" i="1" s="1"/>
  <c r="CX52" i="1"/>
  <c r="CY52" i="1" s="1"/>
  <c r="CX51" i="1"/>
  <c r="CY51" i="1" s="1"/>
  <c r="CX50" i="1"/>
  <c r="CY50" i="1" s="1"/>
  <c r="CX49" i="1"/>
  <c r="CY49" i="1" s="1"/>
  <c r="CX48" i="1"/>
  <c r="CY48" i="1" s="1"/>
  <c r="CX47" i="1"/>
  <c r="CY47" i="1" s="1"/>
  <c r="CX46" i="1"/>
  <c r="CY46" i="1" s="1"/>
  <c r="CX45" i="1"/>
  <c r="CY45" i="1" s="1"/>
  <c r="CX44" i="1"/>
  <c r="CY44" i="1" s="1"/>
  <c r="CX43" i="1"/>
  <c r="CY43" i="1" s="1"/>
  <c r="CX42" i="1"/>
  <c r="CY42" i="1" s="1"/>
  <c r="CX41" i="1"/>
  <c r="CY41" i="1" s="1"/>
  <c r="CX40" i="1"/>
  <c r="CY40" i="1" s="1"/>
  <c r="CX39" i="1"/>
  <c r="CY39" i="1" s="1"/>
  <c r="CX38" i="1"/>
  <c r="CY38" i="1" s="1"/>
  <c r="CX37" i="1"/>
  <c r="CY37" i="1" s="1"/>
  <c r="CX36" i="1"/>
  <c r="CY36" i="1" s="1"/>
  <c r="CX35" i="1"/>
  <c r="CY35" i="1" s="1"/>
  <c r="CX34" i="1"/>
  <c r="CY34" i="1" s="1"/>
  <c r="CX33" i="1"/>
  <c r="CY33" i="1" s="1"/>
  <c r="CX32" i="1"/>
  <c r="CY32" i="1" s="1"/>
  <c r="CX31" i="1"/>
  <c r="CY31" i="1" s="1"/>
  <c r="CX30" i="1"/>
  <c r="CY30" i="1" s="1"/>
  <c r="CX29" i="1"/>
  <c r="CY29" i="1" s="1"/>
  <c r="CX28" i="1"/>
  <c r="CY28" i="1" s="1"/>
  <c r="CX27" i="1"/>
  <c r="CY27" i="1" s="1"/>
  <c r="CX26" i="1"/>
  <c r="CY26" i="1" s="1"/>
  <c r="CX25" i="1"/>
  <c r="CY25" i="1" s="1"/>
  <c r="CX24" i="1"/>
  <c r="CY24" i="1" s="1"/>
  <c r="CX23" i="1"/>
  <c r="CY23" i="1" s="1"/>
  <c r="CX22" i="1"/>
  <c r="CY22" i="1" s="1"/>
  <c r="CX21" i="1"/>
  <c r="CY21" i="1" s="1"/>
  <c r="CX20" i="1"/>
  <c r="CY20" i="1" s="1"/>
  <c r="CX19" i="1"/>
  <c r="CY19" i="1" s="1"/>
  <c r="CX18" i="1"/>
  <c r="CY18" i="1" s="1"/>
  <c r="CX17" i="1"/>
  <c r="CY17" i="1" s="1"/>
  <c r="CX16" i="1"/>
  <c r="CY16" i="1" s="1"/>
  <c r="CX15" i="1"/>
  <c r="CY15" i="1" s="1"/>
  <c r="CX14" i="1"/>
  <c r="CY14" i="1" s="1"/>
  <c r="CX13" i="1"/>
  <c r="CY13" i="1" s="1"/>
  <c r="CX12" i="1"/>
  <c r="CY12" i="1" s="1"/>
  <c r="CX11" i="1"/>
  <c r="CY11" i="1" s="1"/>
  <c r="CX10" i="1"/>
  <c r="CY10" i="1" s="1"/>
  <c r="CX9" i="1"/>
  <c r="CY9" i="1" s="1"/>
  <c r="CX8" i="1"/>
  <c r="CY8" i="1" s="1"/>
  <c r="CX7" i="1"/>
  <c r="CY7" i="1" s="1"/>
  <c r="CX6" i="1"/>
  <c r="CY6" i="1" s="1"/>
  <c r="CX5" i="1"/>
  <c r="CY5" i="1" s="1"/>
  <c r="CN154" i="1"/>
  <c r="CN153" i="1"/>
  <c r="CN152" i="1"/>
  <c r="CN151" i="1"/>
  <c r="CN150" i="1"/>
  <c r="CN149" i="1"/>
  <c r="CN148" i="1"/>
  <c r="CN147" i="1"/>
  <c r="CN146" i="1"/>
  <c r="CN145" i="1"/>
  <c r="CN144" i="1"/>
  <c r="CN143" i="1"/>
  <c r="CN142" i="1"/>
  <c r="CN141" i="1"/>
  <c r="CN140" i="1"/>
  <c r="CN139" i="1"/>
  <c r="CN138" i="1"/>
  <c r="CN137" i="1"/>
  <c r="CN136" i="1"/>
  <c r="CN135" i="1"/>
  <c r="CN134" i="1"/>
  <c r="CN133" i="1"/>
  <c r="CN132" i="1"/>
  <c r="CN131" i="1"/>
  <c r="CN130" i="1"/>
  <c r="CN129" i="1"/>
  <c r="CN128" i="1"/>
  <c r="CN127" i="1"/>
  <c r="CN126" i="1"/>
  <c r="CN125" i="1"/>
  <c r="CN124" i="1"/>
  <c r="CN123" i="1"/>
  <c r="CN122" i="1"/>
  <c r="CN121" i="1"/>
  <c r="CN120" i="1"/>
  <c r="CN119" i="1"/>
  <c r="CN118" i="1"/>
  <c r="CN117" i="1"/>
  <c r="CN116" i="1"/>
  <c r="CN115" i="1"/>
  <c r="CN114" i="1"/>
  <c r="CN113" i="1"/>
  <c r="CN112" i="1"/>
  <c r="CN111" i="1"/>
  <c r="CN110" i="1"/>
  <c r="CN109" i="1"/>
  <c r="CN108" i="1"/>
  <c r="CN107" i="1"/>
  <c r="CN106" i="1"/>
  <c r="CN105" i="1"/>
  <c r="CN104" i="1"/>
  <c r="CN103" i="1"/>
  <c r="CN102" i="1"/>
  <c r="CN101" i="1"/>
  <c r="CN100" i="1"/>
  <c r="CN99" i="1"/>
  <c r="CN98" i="1"/>
  <c r="CN97" i="1"/>
  <c r="CN96" i="1"/>
  <c r="CN95" i="1"/>
  <c r="CN94" i="1"/>
  <c r="CN93" i="1"/>
  <c r="CN92" i="1"/>
  <c r="CN91" i="1"/>
  <c r="CN90" i="1"/>
  <c r="CN89" i="1"/>
  <c r="CN88" i="1"/>
  <c r="CN87" i="1"/>
  <c r="CN86" i="1"/>
  <c r="CN85" i="1"/>
  <c r="CN84" i="1"/>
  <c r="CN83" i="1"/>
  <c r="CN82" i="1"/>
  <c r="CN81" i="1"/>
  <c r="CN80" i="1"/>
  <c r="CN79" i="1"/>
  <c r="CN78" i="1"/>
  <c r="CN77" i="1"/>
  <c r="CN76" i="1"/>
  <c r="CN75" i="1"/>
  <c r="CN74" i="1"/>
  <c r="CN73" i="1"/>
  <c r="CN72" i="1"/>
  <c r="CN71" i="1"/>
  <c r="CN70" i="1"/>
  <c r="CN69" i="1"/>
  <c r="CN68" i="1"/>
  <c r="CN67" i="1"/>
  <c r="CN66" i="1"/>
  <c r="CN65" i="1"/>
  <c r="CN64" i="1"/>
  <c r="CN63" i="1"/>
  <c r="CN62" i="1"/>
  <c r="CN61" i="1"/>
  <c r="CN60" i="1"/>
  <c r="CN59" i="1"/>
  <c r="CN58" i="1"/>
  <c r="CN57" i="1"/>
  <c r="CN56" i="1"/>
  <c r="CN55" i="1"/>
  <c r="CN54" i="1"/>
  <c r="CN53" i="1"/>
  <c r="CN52" i="1"/>
  <c r="CN51" i="1"/>
  <c r="CN50" i="1"/>
  <c r="CN49" i="1"/>
  <c r="CN48" i="1"/>
  <c r="CN47" i="1"/>
  <c r="CN46" i="1"/>
  <c r="CN45" i="1"/>
  <c r="CN44" i="1"/>
  <c r="CN43" i="1"/>
  <c r="CN42" i="1"/>
  <c r="CN41" i="1"/>
  <c r="CN40" i="1"/>
  <c r="CN39" i="1"/>
  <c r="CN38" i="1"/>
  <c r="CN37" i="1"/>
  <c r="CN36" i="1"/>
  <c r="CN35" i="1"/>
  <c r="CN34" i="1"/>
  <c r="CN33" i="1"/>
  <c r="CN32" i="1"/>
  <c r="CN31" i="1"/>
  <c r="CN30" i="1"/>
  <c r="CN29" i="1"/>
  <c r="CN28" i="1"/>
  <c r="CN27" i="1"/>
  <c r="CN26" i="1"/>
  <c r="CN25" i="1"/>
  <c r="CN24" i="1"/>
  <c r="CN23" i="1"/>
  <c r="CN22" i="1"/>
  <c r="CN21" i="1"/>
  <c r="CN20" i="1"/>
  <c r="CN19" i="1"/>
  <c r="CN18" i="1"/>
  <c r="CN17" i="1"/>
  <c r="CN16" i="1"/>
  <c r="CN15" i="1"/>
  <c r="CN14" i="1"/>
  <c r="CN13" i="1"/>
  <c r="CN12" i="1"/>
  <c r="CN11" i="1"/>
  <c r="CN10" i="1"/>
  <c r="CN9" i="1"/>
  <c r="CN8" i="1"/>
  <c r="CN7" i="1"/>
  <c r="CN6" i="1"/>
  <c r="DK3" i="1"/>
  <c r="DA3" i="1"/>
  <c r="CP3" i="1"/>
  <c r="CF3" i="1"/>
  <c r="I9" i="33" l="1"/>
  <c r="H9" i="33"/>
  <c r="G9" i="33"/>
  <c r="F9" i="33"/>
  <c r="E9" i="33"/>
  <c r="AA15" i="18" l="1"/>
  <c r="B111" i="20" l="1"/>
  <c r="B121" i="20"/>
  <c r="B109" i="20"/>
  <c r="B119" i="20"/>
  <c r="B120" i="20"/>
  <c r="B110" i="20"/>
  <c r="I59" i="1" l="1"/>
  <c r="I58" i="1"/>
  <c r="I57" i="1"/>
  <c r="I56" i="1"/>
  <c r="I55" i="1"/>
  <c r="I54" i="1"/>
  <c r="I53" i="1"/>
  <c r="I52" i="1"/>
  <c r="I51" i="1"/>
  <c r="I50" i="1"/>
  <c r="I49" i="1"/>
  <c r="I48" i="1"/>
  <c r="I47" i="1"/>
  <c r="I46" i="1"/>
  <c r="I45" i="1"/>
  <c r="DI1" i="1" l="1"/>
  <c r="A9" i="1" l="1"/>
  <c r="K17" i="1" s="1"/>
  <c r="O17" i="1" l="1"/>
  <c r="AG13" i="1"/>
  <c r="N5" i="20" l="1"/>
  <c r="N184" i="20"/>
  <c r="N29" i="20"/>
  <c r="N32" i="20"/>
  <c r="N34" i="20"/>
  <c r="N31" i="20"/>
  <c r="N33" i="20"/>
  <c r="N30" i="20"/>
  <c r="N10" i="20"/>
  <c r="N121" i="20" l="1"/>
  <c r="N111" i="20"/>
  <c r="N25" i="20"/>
  <c r="N24" i="20"/>
  <c r="N23" i="20"/>
  <c r="N22" i="20"/>
  <c r="N27" i="20"/>
  <c r="N26" i="20"/>
  <c r="N114" i="20"/>
  <c r="N146" i="20"/>
  <c r="N144" i="20"/>
  <c r="N145" i="20"/>
  <c r="N149" i="20"/>
  <c r="N148" i="20"/>
  <c r="L5" i="20"/>
  <c r="AE15" i="1" l="1"/>
  <c r="B114" i="20" l="1"/>
  <c r="B101" i="20"/>
  <c r="B102" i="20"/>
  <c r="B63" i="20"/>
  <c r="B22" i="20" l="1"/>
  <c r="B25" i="20"/>
  <c r="B27" i="20"/>
  <c r="B24" i="20"/>
  <c r="B26" i="20"/>
  <c r="B23" i="20"/>
  <c r="B29" i="20"/>
  <c r="B32" i="20"/>
  <c r="B34" i="20"/>
  <c r="B33" i="20"/>
  <c r="B30" i="20"/>
  <c r="B28" i="20"/>
  <c r="B16" i="20"/>
  <c r="B19" i="20"/>
  <c r="B21" i="20"/>
  <c r="B168" i="20" l="1"/>
  <c r="B169" i="20"/>
  <c r="R47" i="18" l="1"/>
  <c r="R46" i="18"/>
  <c r="R45" i="18"/>
  <c r="R37" i="18"/>
  <c r="R38" i="18"/>
  <c r="R36" i="18"/>
  <c r="S36" i="18" s="1"/>
  <c r="P21" i="18"/>
  <c r="Q21" i="18" s="1"/>
  <c r="P22" i="18"/>
  <c r="P23" i="18"/>
  <c r="P24" i="18"/>
  <c r="P25" i="18"/>
  <c r="P26" i="18"/>
  <c r="P27" i="18"/>
  <c r="P28" i="18"/>
  <c r="P29" i="18"/>
  <c r="S6" i="18"/>
  <c r="T6" i="18" s="1"/>
  <c r="T21" i="18"/>
  <c r="R23" i="18"/>
  <c r="CX3" i="1"/>
  <c r="BV58" i="1"/>
  <c r="BV57" i="1"/>
  <c r="BV56" i="1"/>
  <c r="BV55" i="1"/>
  <c r="BV54" i="1"/>
  <c r="BV53" i="1"/>
  <c r="BV52" i="1"/>
  <c r="BV51" i="1"/>
  <c r="BV50" i="1"/>
  <c r="BV49" i="1"/>
  <c r="BV48" i="1"/>
  <c r="BV47" i="1"/>
  <c r="BV46" i="1"/>
  <c r="BV45" i="1"/>
  <c r="BV44" i="1"/>
  <c r="BV43" i="1"/>
  <c r="BV42" i="1"/>
  <c r="BV41" i="1"/>
  <c r="BV40" i="1"/>
  <c r="BV39" i="1"/>
  <c r="BV38" i="1"/>
  <c r="BV37" i="1"/>
  <c r="BV36" i="1"/>
  <c r="BV35" i="1"/>
  <c r="BV34" i="1"/>
  <c r="BV33" i="1"/>
  <c r="BV32" i="1"/>
  <c r="BV31" i="1"/>
  <c r="BV30" i="1"/>
  <c r="BV29" i="1"/>
  <c r="BV28" i="1"/>
  <c r="BV27" i="1"/>
  <c r="BV26" i="1"/>
  <c r="BV25" i="1"/>
  <c r="BV24" i="1"/>
  <c r="BV23" i="1"/>
  <c r="BV22" i="1"/>
  <c r="BV21" i="1"/>
  <c r="BV20" i="1"/>
  <c r="BV19" i="1"/>
  <c r="BV18" i="1"/>
  <c r="BV17" i="1"/>
  <c r="BV16" i="1"/>
  <c r="BV15" i="1"/>
  <c r="BV14" i="1"/>
  <c r="BV13" i="1"/>
  <c r="BV12" i="1"/>
  <c r="BV11" i="1"/>
  <c r="BV10" i="1"/>
  <c r="BV9" i="1"/>
  <c r="BV8" i="1"/>
  <c r="BV7" i="1"/>
  <c r="BV6" i="1"/>
  <c r="BV5" i="1"/>
  <c r="M122" i="20"/>
  <c r="M137" i="20"/>
  <c r="M160" i="20"/>
  <c r="M48" i="20"/>
  <c r="L122" i="20"/>
  <c r="L137" i="20"/>
  <c r="L160" i="20"/>
  <c r="L48" i="20"/>
  <c r="L184" i="20"/>
  <c r="L10" i="20"/>
  <c r="J5" i="20"/>
  <c r="J17" i="20" s="1"/>
  <c r="K17" i="20" s="1"/>
  <c r="AS38" i="1"/>
  <c r="N137" i="20" l="1"/>
  <c r="O137" i="20" s="1"/>
  <c r="N160" i="20"/>
  <c r="O160" i="20" s="1"/>
  <c r="N122" i="20"/>
  <c r="O122" i="20" s="1"/>
  <c r="N48" i="20"/>
  <c r="O48" i="20" s="1"/>
  <c r="L17" i="20"/>
  <c r="M17" i="20" s="1"/>
  <c r="N17" i="20" s="1"/>
  <c r="P36" i="18"/>
  <c r="Q6" i="18" l="1"/>
  <c r="DA154" i="1"/>
  <c r="DA153" i="1"/>
  <c r="DA152" i="1"/>
  <c r="DA151" i="1"/>
  <c r="DA150" i="1"/>
  <c r="DA149" i="1"/>
  <c r="DA148" i="1"/>
  <c r="DA147" i="1"/>
  <c r="DA146" i="1"/>
  <c r="DA145" i="1"/>
  <c r="DA144" i="1"/>
  <c r="DA143" i="1"/>
  <c r="DA142" i="1"/>
  <c r="DA141" i="1"/>
  <c r="DA140" i="1"/>
  <c r="DA139" i="1"/>
  <c r="DA138" i="1"/>
  <c r="DA137" i="1"/>
  <c r="DA136" i="1"/>
  <c r="DA135" i="1"/>
  <c r="DA134" i="1"/>
  <c r="DA133" i="1"/>
  <c r="DA132" i="1"/>
  <c r="DA131" i="1"/>
  <c r="DA130" i="1"/>
  <c r="DA129" i="1"/>
  <c r="DA128" i="1"/>
  <c r="DA127" i="1"/>
  <c r="DA126" i="1"/>
  <c r="DA125" i="1"/>
  <c r="DA124" i="1"/>
  <c r="DA123" i="1"/>
  <c r="DA122" i="1"/>
  <c r="DA121" i="1"/>
  <c r="DA120" i="1"/>
  <c r="DA119" i="1"/>
  <c r="DA118" i="1"/>
  <c r="DA117" i="1"/>
  <c r="DA116" i="1"/>
  <c r="DA115" i="1"/>
  <c r="DA114" i="1"/>
  <c r="DA113" i="1"/>
  <c r="DA112" i="1"/>
  <c r="DA111" i="1"/>
  <c r="DA110" i="1"/>
  <c r="DA109" i="1"/>
  <c r="DA108" i="1"/>
  <c r="DA107" i="1"/>
  <c r="DA106" i="1"/>
  <c r="DA105" i="1"/>
  <c r="DA104" i="1"/>
  <c r="DA103" i="1"/>
  <c r="DA102" i="1"/>
  <c r="DA101" i="1"/>
  <c r="DA100" i="1"/>
  <c r="DA99" i="1"/>
  <c r="DA98" i="1"/>
  <c r="DA97" i="1"/>
  <c r="DA96" i="1"/>
  <c r="DA95" i="1"/>
  <c r="DA94" i="1"/>
  <c r="DA93" i="1"/>
  <c r="DA92" i="1"/>
  <c r="DA91" i="1"/>
  <c r="DA90" i="1"/>
  <c r="DA89" i="1"/>
  <c r="DA88" i="1"/>
  <c r="DA87" i="1"/>
  <c r="DA86" i="1"/>
  <c r="DA85" i="1"/>
  <c r="DA84" i="1"/>
  <c r="DA83" i="1"/>
  <c r="DA82" i="1"/>
  <c r="DA81" i="1"/>
  <c r="DA80" i="1"/>
  <c r="DA79" i="1"/>
  <c r="DA78" i="1"/>
  <c r="DA77" i="1"/>
  <c r="DA76" i="1"/>
  <c r="DA75" i="1"/>
  <c r="DA74" i="1"/>
  <c r="DA73" i="1"/>
  <c r="DA72" i="1"/>
  <c r="DA71" i="1"/>
  <c r="DA70" i="1"/>
  <c r="DA69" i="1"/>
  <c r="DA68" i="1"/>
  <c r="DA67" i="1"/>
  <c r="DA66" i="1"/>
  <c r="DA65" i="1"/>
  <c r="DA64" i="1"/>
  <c r="DA63" i="1"/>
  <c r="DA62" i="1"/>
  <c r="DA61" i="1"/>
  <c r="DA60" i="1"/>
  <c r="DA59" i="1"/>
  <c r="DA58" i="1"/>
  <c r="DA57" i="1"/>
  <c r="DA56" i="1"/>
  <c r="DA55" i="1"/>
  <c r="DA54" i="1"/>
  <c r="DA53" i="1"/>
  <c r="DA52" i="1"/>
  <c r="DA51" i="1"/>
  <c r="DA50" i="1"/>
  <c r="DA49" i="1"/>
  <c r="DA48" i="1"/>
  <c r="DA47" i="1"/>
  <c r="DA46" i="1"/>
  <c r="DA45" i="1"/>
  <c r="DA44" i="1"/>
  <c r="DA43" i="1"/>
  <c r="DA42" i="1"/>
  <c r="DA41" i="1"/>
  <c r="DA40" i="1"/>
  <c r="DA39" i="1"/>
  <c r="DA38" i="1"/>
  <c r="DA37" i="1"/>
  <c r="DA36" i="1"/>
  <c r="DA35" i="1"/>
  <c r="DA34" i="1"/>
  <c r="DA33" i="1"/>
  <c r="DA32" i="1"/>
  <c r="DA31" i="1"/>
  <c r="DA30" i="1"/>
  <c r="DA29" i="1"/>
  <c r="DA28" i="1"/>
  <c r="DA27" i="1"/>
  <c r="DA26" i="1"/>
  <c r="DA25" i="1"/>
  <c r="DA24" i="1"/>
  <c r="DA23" i="1"/>
  <c r="DA22" i="1"/>
  <c r="DA21" i="1"/>
  <c r="DA20" i="1"/>
  <c r="DA19" i="1"/>
  <c r="DA18" i="1"/>
  <c r="DA17" i="1"/>
  <c r="DA16" i="1"/>
  <c r="DA15" i="1"/>
  <c r="DA14" i="1"/>
  <c r="DA13" i="1"/>
  <c r="DA12" i="1"/>
  <c r="DA11" i="1"/>
  <c r="DA10" i="1"/>
  <c r="DA9" i="1"/>
  <c r="DA8" i="1"/>
  <c r="DA7" i="1"/>
  <c r="DA6" i="1"/>
  <c r="DA5" i="1"/>
  <c r="CF154" i="1"/>
  <c r="CF153" i="1"/>
  <c r="CF152" i="1"/>
  <c r="CF151" i="1"/>
  <c r="CF150" i="1"/>
  <c r="CF149" i="1"/>
  <c r="CF148" i="1"/>
  <c r="CF147" i="1"/>
  <c r="CF146" i="1"/>
  <c r="CF145" i="1"/>
  <c r="CF144" i="1"/>
  <c r="CF143" i="1"/>
  <c r="CF142" i="1"/>
  <c r="CF141" i="1"/>
  <c r="CF140" i="1"/>
  <c r="CF139" i="1"/>
  <c r="CF138" i="1"/>
  <c r="CF137" i="1"/>
  <c r="CF136" i="1"/>
  <c r="CF135" i="1"/>
  <c r="CF134" i="1"/>
  <c r="CF133" i="1"/>
  <c r="CF132" i="1"/>
  <c r="CF131" i="1"/>
  <c r="CF130" i="1"/>
  <c r="CF129" i="1"/>
  <c r="CF128" i="1"/>
  <c r="CF127" i="1"/>
  <c r="CF126" i="1"/>
  <c r="CF125" i="1"/>
  <c r="CF124" i="1"/>
  <c r="CF123" i="1"/>
  <c r="CF122" i="1"/>
  <c r="CF121" i="1"/>
  <c r="CF120" i="1"/>
  <c r="CF119" i="1"/>
  <c r="CF118" i="1"/>
  <c r="CF117" i="1"/>
  <c r="CF116" i="1"/>
  <c r="CF115" i="1"/>
  <c r="CF114" i="1"/>
  <c r="CF113" i="1"/>
  <c r="CF112" i="1"/>
  <c r="CF111" i="1"/>
  <c r="CF110" i="1"/>
  <c r="CF109" i="1"/>
  <c r="CF108" i="1"/>
  <c r="CF107" i="1"/>
  <c r="CF106" i="1"/>
  <c r="CF105" i="1"/>
  <c r="CF104" i="1"/>
  <c r="CF103" i="1"/>
  <c r="CF102" i="1"/>
  <c r="CF101" i="1"/>
  <c r="CF100" i="1"/>
  <c r="CF99" i="1"/>
  <c r="CF98" i="1"/>
  <c r="CF97" i="1"/>
  <c r="CF96" i="1"/>
  <c r="CF95" i="1"/>
  <c r="CF94" i="1"/>
  <c r="CF93" i="1"/>
  <c r="CF92" i="1"/>
  <c r="CF91" i="1"/>
  <c r="CF90" i="1"/>
  <c r="CF89" i="1"/>
  <c r="CF88" i="1"/>
  <c r="CF87" i="1"/>
  <c r="CF86" i="1"/>
  <c r="CF85" i="1"/>
  <c r="CF84" i="1"/>
  <c r="CF83" i="1"/>
  <c r="CF82" i="1"/>
  <c r="CF81" i="1"/>
  <c r="CF80" i="1"/>
  <c r="CF79" i="1"/>
  <c r="CF78" i="1"/>
  <c r="CF77" i="1"/>
  <c r="CF76" i="1"/>
  <c r="CF75" i="1"/>
  <c r="CF74" i="1"/>
  <c r="CF73" i="1"/>
  <c r="CF72" i="1"/>
  <c r="CF71" i="1"/>
  <c r="CF70" i="1"/>
  <c r="CF69" i="1"/>
  <c r="CF68" i="1"/>
  <c r="CF67" i="1"/>
  <c r="CF66" i="1"/>
  <c r="CF65" i="1"/>
  <c r="CF64" i="1"/>
  <c r="CF63" i="1"/>
  <c r="CF62" i="1"/>
  <c r="CF61" i="1"/>
  <c r="CF60" i="1"/>
  <c r="CF59" i="1"/>
  <c r="CF58" i="1"/>
  <c r="CF57" i="1"/>
  <c r="CF56" i="1"/>
  <c r="CF55" i="1"/>
  <c r="CF54" i="1"/>
  <c r="CF53" i="1"/>
  <c r="CF52" i="1"/>
  <c r="CF51" i="1"/>
  <c r="CF50" i="1"/>
  <c r="CF49" i="1"/>
  <c r="CF48" i="1"/>
  <c r="CF47" i="1"/>
  <c r="CF46" i="1"/>
  <c r="CF45" i="1"/>
  <c r="CF44" i="1"/>
  <c r="CF43" i="1"/>
  <c r="CF42" i="1"/>
  <c r="CF41" i="1"/>
  <c r="CF40" i="1"/>
  <c r="CF39" i="1"/>
  <c r="CF38" i="1"/>
  <c r="CF37" i="1"/>
  <c r="CF36" i="1"/>
  <c r="CF35" i="1"/>
  <c r="CF34" i="1"/>
  <c r="CF33" i="1"/>
  <c r="CF32" i="1"/>
  <c r="CF31" i="1"/>
  <c r="CF30" i="1"/>
  <c r="CF29" i="1"/>
  <c r="CF28" i="1"/>
  <c r="CF27" i="1"/>
  <c r="CF26" i="1"/>
  <c r="CF25" i="1"/>
  <c r="CF24" i="1"/>
  <c r="CF23" i="1"/>
  <c r="CF22" i="1"/>
  <c r="CF21" i="1"/>
  <c r="CF20" i="1"/>
  <c r="CF19" i="1"/>
  <c r="CF18" i="1"/>
  <c r="CF17" i="1"/>
  <c r="CF16" i="1"/>
  <c r="CF15" i="1"/>
  <c r="CF14" i="1"/>
  <c r="CF13" i="1"/>
  <c r="CF12" i="1"/>
  <c r="CF11" i="1"/>
  <c r="CF10" i="1"/>
  <c r="CF9" i="1"/>
  <c r="CF8" i="1"/>
  <c r="CF7" i="1"/>
  <c r="CF6" i="1"/>
  <c r="CF5" i="1"/>
  <c r="K178" i="20"/>
  <c r="K15" i="20"/>
  <c r="K41" i="20"/>
  <c r="K28" i="20"/>
  <c r="K181" i="20"/>
  <c r="K172" i="20"/>
  <c r="K175" i="20"/>
  <c r="K170" i="20"/>
  <c r="K171" i="20"/>
  <c r="K161" i="20"/>
  <c r="K156" i="20"/>
  <c r="K138" i="20"/>
  <c r="K141" i="20"/>
  <c r="K135" i="20"/>
  <c r="K136" i="20"/>
  <c r="K123" i="20"/>
  <c r="K126" i="20"/>
  <c r="K103" i="20"/>
  <c r="K100" i="20"/>
  <c r="K88" i="20"/>
  <c r="K91" i="20"/>
  <c r="K76" i="20"/>
  <c r="K79" i="20"/>
  <c r="K9" i="20"/>
  <c r="K12" i="20"/>
  <c r="K183" i="20"/>
  <c r="K177" i="20"/>
  <c r="K143" i="20"/>
  <c r="K128" i="20"/>
  <c r="K93" i="20"/>
  <c r="K81" i="20"/>
  <c r="K14" i="20"/>
  <c r="K180" i="20"/>
  <c r="K174" i="20"/>
  <c r="K163" i="20"/>
  <c r="K140" i="20"/>
  <c r="K125" i="20"/>
  <c r="K105" i="20"/>
  <c r="K90" i="20"/>
  <c r="K78" i="20"/>
  <c r="K11" i="20"/>
  <c r="K182" i="20"/>
  <c r="K176" i="20"/>
  <c r="K142" i="20"/>
  <c r="K127" i="20"/>
  <c r="K92" i="20"/>
  <c r="K80" i="20"/>
  <c r="K13" i="20"/>
  <c r="K179" i="20"/>
  <c r="K173" i="20"/>
  <c r="K162" i="20"/>
  <c r="K139" i="20"/>
  <c r="K124" i="20"/>
  <c r="K104" i="20"/>
  <c r="K89" i="20"/>
  <c r="K77" i="20"/>
  <c r="J178" i="20"/>
  <c r="J48" i="20"/>
  <c r="J160" i="20"/>
  <c r="J137" i="20"/>
  <c r="J122" i="20"/>
  <c r="J181" i="20"/>
  <c r="J172" i="20"/>
  <c r="J175" i="20"/>
  <c r="J170" i="20"/>
  <c r="J171" i="20"/>
  <c r="J161" i="20"/>
  <c r="J156" i="20"/>
  <c r="J138" i="20"/>
  <c r="J141" i="20"/>
  <c r="J135" i="20"/>
  <c r="J136" i="20"/>
  <c r="J123" i="20"/>
  <c r="J126" i="20"/>
  <c r="J103" i="20"/>
  <c r="J100" i="20"/>
  <c r="J88" i="20"/>
  <c r="J91" i="20"/>
  <c r="J76" i="20"/>
  <c r="J79" i="20"/>
  <c r="J9" i="20"/>
  <c r="J12" i="20"/>
  <c r="J183" i="20"/>
  <c r="J177" i="20"/>
  <c r="J143" i="20"/>
  <c r="J128" i="20"/>
  <c r="J93" i="20"/>
  <c r="J81" i="20"/>
  <c r="J14" i="20"/>
  <c r="J180" i="20"/>
  <c r="J174" i="20"/>
  <c r="J163" i="20"/>
  <c r="J140" i="20"/>
  <c r="J125" i="20"/>
  <c r="J105" i="20"/>
  <c r="J90" i="20"/>
  <c r="J78" i="20"/>
  <c r="J11" i="20"/>
  <c r="J182" i="20"/>
  <c r="J176" i="20"/>
  <c r="J142" i="20"/>
  <c r="J127" i="20"/>
  <c r="J92" i="20"/>
  <c r="J80" i="20"/>
  <c r="J13" i="20"/>
  <c r="J179" i="20"/>
  <c r="J173" i="20"/>
  <c r="J162" i="20"/>
  <c r="J139" i="20"/>
  <c r="J124" i="20"/>
  <c r="J104" i="20"/>
  <c r="J89" i="20"/>
  <c r="J77" i="20"/>
  <c r="J10" i="20"/>
  <c r="AN17" i="1"/>
  <c r="M162" i="20" l="1"/>
  <c r="L162" i="20"/>
  <c r="M90" i="20"/>
  <c r="L90" i="20"/>
  <c r="M177" i="20"/>
  <c r="L177" i="20"/>
  <c r="M100" i="20"/>
  <c r="L100" i="20"/>
  <c r="L156" i="20"/>
  <c r="M156" i="20" s="1"/>
  <c r="N156" i="20" s="1"/>
  <c r="O156" i="20" s="1"/>
  <c r="L104" i="20"/>
  <c r="M104" i="20"/>
  <c r="L173" i="20"/>
  <c r="M173" i="20" s="1"/>
  <c r="N173" i="20" s="1"/>
  <c r="O173" i="20" s="1"/>
  <c r="M92" i="20"/>
  <c r="L92" i="20"/>
  <c r="L182" i="20"/>
  <c r="M182" i="20"/>
  <c r="M105" i="20"/>
  <c r="L105" i="20"/>
  <c r="M174" i="20"/>
  <c r="L174" i="20"/>
  <c r="L93" i="20"/>
  <c r="M93" i="20"/>
  <c r="L183" i="20"/>
  <c r="M183" i="20"/>
  <c r="M76" i="20"/>
  <c r="L76" i="20"/>
  <c r="M103" i="20"/>
  <c r="L103" i="20"/>
  <c r="M135" i="20"/>
  <c r="L135" i="20"/>
  <c r="L161" i="20"/>
  <c r="M161" i="20" s="1"/>
  <c r="L172" i="20"/>
  <c r="M172" i="20"/>
  <c r="M89" i="20"/>
  <c r="L89" i="20"/>
  <c r="M176" i="20"/>
  <c r="L176" i="20"/>
  <c r="M81" i="20"/>
  <c r="L81" i="20"/>
  <c r="M175" i="20"/>
  <c r="L175" i="20"/>
  <c r="L124" i="20"/>
  <c r="M124" i="20"/>
  <c r="L179" i="20"/>
  <c r="M179" i="20"/>
  <c r="M127" i="20"/>
  <c r="L127" i="20"/>
  <c r="M11" i="20"/>
  <c r="L11" i="20"/>
  <c r="L125" i="20"/>
  <c r="M125" i="20"/>
  <c r="M180" i="20"/>
  <c r="L180" i="20"/>
  <c r="M128" i="20"/>
  <c r="L128" i="20"/>
  <c r="M12" i="20"/>
  <c r="L12" i="20"/>
  <c r="M91" i="20"/>
  <c r="L91" i="20"/>
  <c r="M126" i="20"/>
  <c r="L126" i="20"/>
  <c r="M141" i="20"/>
  <c r="L141" i="20"/>
  <c r="M171" i="20"/>
  <c r="L171" i="20"/>
  <c r="M181" i="20"/>
  <c r="L181" i="20"/>
  <c r="M178" i="20"/>
  <c r="L178" i="20"/>
  <c r="M80" i="20"/>
  <c r="L80" i="20"/>
  <c r="M163" i="20"/>
  <c r="L163" i="20"/>
  <c r="M79" i="20"/>
  <c r="L79" i="20"/>
  <c r="M136" i="20"/>
  <c r="L136" i="20"/>
  <c r="L77" i="20"/>
  <c r="M77" i="20"/>
  <c r="M139" i="20"/>
  <c r="L139" i="20"/>
  <c r="M13" i="20"/>
  <c r="L13" i="20"/>
  <c r="M142" i="20"/>
  <c r="L142" i="20"/>
  <c r="M78" i="20"/>
  <c r="L78" i="20"/>
  <c r="M140" i="20"/>
  <c r="L140" i="20"/>
  <c r="L14" i="20"/>
  <c r="M14" i="20"/>
  <c r="L143" i="20"/>
  <c r="M143" i="20"/>
  <c r="M9" i="20"/>
  <c r="L9" i="20"/>
  <c r="M88" i="20"/>
  <c r="L88" i="20"/>
  <c r="M123" i="20"/>
  <c r="L123" i="20"/>
  <c r="M138" i="20"/>
  <c r="L138" i="20"/>
  <c r="L170" i="20"/>
  <c r="M170" i="20"/>
  <c r="A15" i="1"/>
  <c r="AE14" i="1"/>
  <c r="N171" i="20" l="1"/>
  <c r="O171" i="20"/>
  <c r="N12" i="20"/>
  <c r="O12" i="20"/>
  <c r="N11" i="20"/>
  <c r="O11" i="20"/>
  <c r="N175" i="20"/>
  <c r="O175" i="20"/>
  <c r="N170" i="20"/>
  <c r="O170" i="20"/>
  <c r="N14" i="20"/>
  <c r="O14" i="20"/>
  <c r="N77" i="20"/>
  <c r="O77" i="20"/>
  <c r="N125" i="20"/>
  <c r="O125" i="20"/>
  <c r="N124" i="20"/>
  <c r="O124" i="20"/>
  <c r="N161" i="20"/>
  <c r="O161" i="20" s="1"/>
  <c r="N103" i="20"/>
  <c r="O103" i="20"/>
  <c r="N174" i="20"/>
  <c r="O174" i="20"/>
  <c r="N104" i="20"/>
  <c r="O104" i="20"/>
  <c r="N100" i="20"/>
  <c r="O100" i="20"/>
  <c r="N90" i="20"/>
  <c r="O90" i="20"/>
  <c r="N138" i="20"/>
  <c r="O138" i="20"/>
  <c r="N142" i="20"/>
  <c r="O142" i="20"/>
  <c r="N178" i="20"/>
  <c r="O178" i="20"/>
  <c r="N123" i="20"/>
  <c r="O123" i="20"/>
  <c r="N78" i="20"/>
  <c r="O78" i="20"/>
  <c r="N79" i="20"/>
  <c r="O79" i="20"/>
  <c r="N181" i="20"/>
  <c r="O181" i="20"/>
  <c r="N141" i="20"/>
  <c r="O141" i="20"/>
  <c r="N91" i="20"/>
  <c r="O91" i="20"/>
  <c r="N128" i="20"/>
  <c r="O128" i="20"/>
  <c r="N127" i="20"/>
  <c r="O127" i="20"/>
  <c r="N81" i="20"/>
  <c r="O81" i="20"/>
  <c r="N89" i="20"/>
  <c r="O89" i="20"/>
  <c r="N93" i="20"/>
  <c r="O93" i="20"/>
  <c r="N88" i="20"/>
  <c r="O88" i="20"/>
  <c r="N140" i="20"/>
  <c r="O140" i="20"/>
  <c r="N139" i="20"/>
  <c r="O139" i="20"/>
  <c r="N136" i="20"/>
  <c r="O136" i="20"/>
  <c r="N163" i="20"/>
  <c r="O163" i="20"/>
  <c r="N126" i="20"/>
  <c r="O126" i="20"/>
  <c r="N180" i="20"/>
  <c r="O180" i="20"/>
  <c r="N176" i="20"/>
  <c r="O176" i="20"/>
  <c r="N183" i="20"/>
  <c r="O183" i="20"/>
  <c r="N182" i="20"/>
  <c r="O182" i="20"/>
  <c r="N9" i="20"/>
  <c r="O9" i="20"/>
  <c r="N13" i="20"/>
  <c r="O13" i="20"/>
  <c r="N80" i="20"/>
  <c r="O80" i="20"/>
  <c r="N143" i="20"/>
  <c r="O143" i="20"/>
  <c r="N179" i="20"/>
  <c r="O179" i="20"/>
  <c r="N172" i="20"/>
  <c r="O172" i="20"/>
  <c r="N135" i="20"/>
  <c r="O135" i="20"/>
  <c r="N76" i="20"/>
  <c r="O76" i="20"/>
  <c r="N105" i="20"/>
  <c r="O105" i="20"/>
  <c r="N92" i="20"/>
  <c r="O92" i="20"/>
  <c r="N177" i="20"/>
  <c r="O177" i="20"/>
  <c r="N162" i="20"/>
  <c r="O162" i="20"/>
  <c r="A12" i="1" l="1"/>
  <c r="J20" i="1" l="1"/>
  <c r="J21" i="1"/>
  <c r="I43" i="1"/>
  <c r="I41" i="1"/>
  <c r="I42" i="1"/>
  <c r="I40" i="1"/>
  <c r="I39" i="1"/>
  <c r="I44" i="1"/>
  <c r="I38" i="1"/>
  <c r="I37" i="1"/>
  <c r="ER13" i="1"/>
  <c r="J19" i="1"/>
  <c r="ER21" i="1"/>
  <c r="ER20" i="1"/>
  <c r="ER16" i="1"/>
  <c r="ER19" i="1"/>
  <c r="ER17" i="1"/>
  <c r="ER18" i="1"/>
  <c r="ER15" i="1"/>
  <c r="ER22" i="1"/>
  <c r="ER14" i="1"/>
  <c r="ER23" i="1"/>
  <c r="ER24" i="1"/>
  <c r="ER27" i="1"/>
  <c r="ER26" i="1"/>
  <c r="ER25" i="1"/>
  <c r="ER3" i="1"/>
  <c r="EQ3" i="1" s="1"/>
  <c r="EP3" i="1" s="1"/>
  <c r="ER28" i="1"/>
  <c r="EQ28" i="1" s="1"/>
  <c r="EP28" i="1" s="1"/>
  <c r="ER12" i="1"/>
  <c r="J68" i="1"/>
  <c r="FP23" i="1"/>
  <c r="FO23" i="1" s="1"/>
  <c r="FN23" i="1" s="1"/>
  <c r="FP15" i="1"/>
  <c r="FO15" i="1" s="1"/>
  <c r="FN15" i="1" s="1"/>
  <c r="FP7" i="1"/>
  <c r="FO7" i="1" s="1"/>
  <c r="FN7" i="1" s="1"/>
  <c r="FP22" i="1"/>
  <c r="FO22" i="1" s="1"/>
  <c r="FN22" i="1" s="1"/>
  <c r="FP14" i="1"/>
  <c r="FO14" i="1" s="1"/>
  <c r="FN14" i="1" s="1"/>
  <c r="FP6" i="1"/>
  <c r="FO6" i="1" s="1"/>
  <c r="FP12" i="1"/>
  <c r="FO12" i="1" s="1"/>
  <c r="FN12" i="1" s="1"/>
  <c r="FP11" i="1"/>
  <c r="FO11" i="1" s="1"/>
  <c r="FN11" i="1" s="1"/>
  <c r="FP10" i="1"/>
  <c r="FO10" i="1" s="1"/>
  <c r="FN10" i="1" s="1"/>
  <c r="FP9" i="1"/>
  <c r="FO9" i="1" s="1"/>
  <c r="FN9" i="1" s="1"/>
  <c r="FP8" i="1"/>
  <c r="FO8" i="1" s="1"/>
  <c r="FN8" i="1" s="1"/>
  <c r="FP18" i="1"/>
  <c r="FO18" i="1" s="1"/>
  <c r="FN18" i="1" s="1"/>
  <c r="FP21" i="1"/>
  <c r="FO21" i="1" s="1"/>
  <c r="FN21" i="1" s="1"/>
  <c r="FP13" i="1"/>
  <c r="FO13" i="1" s="1"/>
  <c r="FN13" i="1" s="1"/>
  <c r="FP5" i="1"/>
  <c r="FO5" i="1" s="1"/>
  <c r="FP20" i="1"/>
  <c r="FO20" i="1" s="1"/>
  <c r="FN20" i="1" s="1"/>
  <c r="FP4" i="1"/>
  <c r="FO4" i="1" s="1"/>
  <c r="FP17" i="1"/>
  <c r="FO17" i="1" s="1"/>
  <c r="FN17" i="1" s="1"/>
  <c r="FP16" i="1"/>
  <c r="FO16" i="1" s="1"/>
  <c r="FN16" i="1" s="1"/>
  <c r="FP3" i="1"/>
  <c r="FO3" i="1" s="1"/>
  <c r="FN3" i="1" s="1"/>
  <c r="FP19" i="1"/>
  <c r="FO19" i="1" s="1"/>
  <c r="FN19" i="1" s="1"/>
  <c r="ER4" i="1"/>
  <c r="EQ4" i="1" s="1"/>
  <c r="ER10" i="1"/>
  <c r="ER11" i="1"/>
  <c r="ER5" i="1"/>
  <c r="ER7" i="1"/>
  <c r="ER6" i="1"/>
  <c r="ER9" i="1"/>
  <c r="ER8" i="1"/>
  <c r="FE3" i="1"/>
  <c r="FD3" i="1" s="1"/>
  <c r="FC3" i="1" s="1"/>
  <c r="FE8" i="1"/>
  <c r="BJ6" i="18"/>
  <c r="BI6" i="18" s="1"/>
  <c r="BJ5" i="18"/>
  <c r="BJ4" i="18"/>
  <c r="BI4" i="18" s="1"/>
  <c r="P6" i="18"/>
  <c r="Q36" i="18"/>
  <c r="P37" i="18"/>
  <c r="P38" i="18"/>
  <c r="T22" i="18"/>
  <c r="T23" i="18"/>
  <c r="T24" i="18"/>
  <c r="T25" i="18"/>
  <c r="T26" i="18"/>
  <c r="T27" i="18"/>
  <c r="T28" i="18"/>
  <c r="T29" i="18"/>
  <c r="P7" i="18"/>
  <c r="P8" i="18"/>
  <c r="P9" i="18"/>
  <c r="P10" i="18"/>
  <c r="P11" i="18"/>
  <c r="P12" i="18"/>
  <c r="P13" i="18"/>
  <c r="P14" i="18"/>
  <c r="U22" i="18"/>
  <c r="U23" i="18"/>
  <c r="U24" i="18"/>
  <c r="U26" i="18"/>
  <c r="U27" i="18"/>
  <c r="U28" i="18"/>
  <c r="U29" i="18"/>
  <c r="T46" i="18"/>
  <c r="T47" i="18"/>
  <c r="T45" i="18"/>
  <c r="T37" i="18"/>
  <c r="T38" i="18"/>
  <c r="T36" i="18"/>
  <c r="S22" i="18"/>
  <c r="S23" i="18"/>
  <c r="S24" i="18"/>
  <c r="S25" i="18"/>
  <c r="S26" i="18"/>
  <c r="S27" i="18"/>
  <c r="S28" i="18"/>
  <c r="S29" i="18"/>
  <c r="S21" i="18"/>
  <c r="R22" i="18"/>
  <c r="R24" i="18"/>
  <c r="R25" i="18"/>
  <c r="R26" i="18"/>
  <c r="R27" i="18"/>
  <c r="R28" i="18"/>
  <c r="R29" i="18"/>
  <c r="R21" i="18"/>
  <c r="EQ15" i="1" l="1"/>
  <c r="AB16" i="18" s="1"/>
  <c r="AC16" i="18"/>
  <c r="EQ7" i="1"/>
  <c r="AB8" i="18" s="1"/>
  <c r="AC8" i="18"/>
  <c r="EQ26" i="1"/>
  <c r="AB27" i="18" s="1"/>
  <c r="AC27" i="18"/>
  <c r="EQ18" i="1"/>
  <c r="AB19" i="18" s="1"/>
  <c r="AC19" i="18"/>
  <c r="EQ25" i="1"/>
  <c r="AB26" i="18" s="1"/>
  <c r="AC26" i="18"/>
  <c r="EQ5" i="1"/>
  <c r="AB6" i="18" s="1"/>
  <c r="AC6" i="18"/>
  <c r="EQ27" i="1"/>
  <c r="AC28" i="18"/>
  <c r="EQ17" i="1"/>
  <c r="AB18" i="18" s="1"/>
  <c r="AC18" i="18"/>
  <c r="EQ10" i="1"/>
  <c r="AB11" i="18" s="1"/>
  <c r="AC11" i="18"/>
  <c r="EQ11" i="1"/>
  <c r="AB12" i="18" s="1"/>
  <c r="AC12" i="18"/>
  <c r="EQ24" i="1"/>
  <c r="AB25" i="18" s="1"/>
  <c r="AC25" i="18"/>
  <c r="EQ19" i="1"/>
  <c r="AB20" i="18" s="1"/>
  <c r="AC20" i="18"/>
  <c r="EQ16" i="1"/>
  <c r="AB17" i="18" s="1"/>
  <c r="AC17" i="18"/>
  <c r="EQ12" i="1"/>
  <c r="AB13" i="18" s="1"/>
  <c r="AC13" i="18"/>
  <c r="EQ13" i="1"/>
  <c r="AB14" i="18" s="1"/>
  <c r="AC14" i="18"/>
  <c r="EQ20" i="1"/>
  <c r="AB21" i="18" s="1"/>
  <c r="AC21" i="18"/>
  <c r="EQ23" i="1"/>
  <c r="AB24" i="18" s="1"/>
  <c r="AC24" i="18"/>
  <c r="EQ14" i="1"/>
  <c r="AB15" i="18" s="1"/>
  <c r="AC15" i="18"/>
  <c r="EQ21" i="1"/>
  <c r="AB22" i="18" s="1"/>
  <c r="AC22" i="18"/>
  <c r="EQ8" i="1"/>
  <c r="AB9" i="18" s="1"/>
  <c r="AC9" i="18"/>
  <c r="EQ9" i="1"/>
  <c r="AB10" i="18" s="1"/>
  <c r="AC10" i="18"/>
  <c r="EQ22" i="1"/>
  <c r="AB23" i="18" s="1"/>
  <c r="AC23" i="18"/>
  <c r="EQ6" i="1"/>
  <c r="AB7" i="18" s="1"/>
  <c r="AC7" i="18"/>
  <c r="FN4" i="1"/>
  <c r="EP4" i="1"/>
  <c r="U21" i="18"/>
  <c r="U25" i="18"/>
  <c r="EP27" i="1" l="1"/>
  <c r="AA28" i="18" s="1"/>
  <c r="AB28" i="18"/>
  <c r="EP5" i="1"/>
  <c r="AA6" i="18" s="1"/>
  <c r="FN5" i="1"/>
  <c r="FN6" i="1" s="1"/>
  <c r="FQ4" i="1" s="1"/>
  <c r="EP6" i="1" l="1"/>
  <c r="AA7" i="18" s="1"/>
  <c r="FQ13" i="1"/>
  <c r="FQ8" i="1"/>
  <c r="FQ14" i="1"/>
  <c r="FQ6" i="1"/>
  <c r="FQ10" i="1"/>
  <c r="FQ23" i="1"/>
  <c r="FQ15" i="1"/>
  <c r="FQ22" i="1"/>
  <c r="FQ9" i="1"/>
  <c r="FQ20" i="1"/>
  <c r="FQ7" i="1"/>
  <c r="FQ21" i="1"/>
  <c r="FQ19" i="1"/>
  <c r="FQ18" i="1"/>
  <c r="FQ17" i="1"/>
  <c r="FQ12" i="1"/>
  <c r="FQ5" i="1"/>
  <c r="FQ16" i="1"/>
  <c r="FQ11" i="1"/>
  <c r="FQ3" i="1"/>
  <c r="EL2" i="1"/>
  <c r="EP7" i="1" l="1"/>
  <c r="AA8" i="18" s="1"/>
  <c r="DR2" i="1"/>
  <c r="DI2" i="1"/>
  <c r="EP8" i="1" l="1"/>
  <c r="AA9" i="18" s="1"/>
  <c r="DS2" i="1"/>
  <c r="CN2" i="1"/>
  <c r="CP6" i="1"/>
  <c r="CP7" i="1"/>
  <c r="CP8" i="1"/>
  <c r="CP9" i="1"/>
  <c r="CP10" i="1"/>
  <c r="CP11" i="1"/>
  <c r="CP12" i="1"/>
  <c r="CP13" i="1"/>
  <c r="CP14" i="1"/>
  <c r="CP15" i="1"/>
  <c r="CP16" i="1"/>
  <c r="CP17" i="1"/>
  <c r="CP18" i="1"/>
  <c r="CP19" i="1"/>
  <c r="CP20" i="1"/>
  <c r="CP21" i="1"/>
  <c r="CP22" i="1"/>
  <c r="CP23" i="1"/>
  <c r="CP24" i="1"/>
  <c r="CP25" i="1"/>
  <c r="CP26" i="1"/>
  <c r="CP27" i="1"/>
  <c r="CP28" i="1"/>
  <c r="CP29" i="1"/>
  <c r="CP30" i="1"/>
  <c r="CP31" i="1"/>
  <c r="CP32" i="1"/>
  <c r="CP33" i="1"/>
  <c r="CP34" i="1"/>
  <c r="CP35" i="1"/>
  <c r="CP36" i="1"/>
  <c r="CP37" i="1"/>
  <c r="CP38" i="1"/>
  <c r="CP39" i="1"/>
  <c r="CP40" i="1"/>
  <c r="CP41" i="1"/>
  <c r="CP42" i="1"/>
  <c r="CP43" i="1"/>
  <c r="CP44" i="1"/>
  <c r="CP45" i="1"/>
  <c r="CP46" i="1"/>
  <c r="CP47" i="1"/>
  <c r="CP48" i="1"/>
  <c r="CP49" i="1"/>
  <c r="CP50" i="1"/>
  <c r="CP51" i="1"/>
  <c r="CP52" i="1"/>
  <c r="CP53" i="1"/>
  <c r="CP54" i="1"/>
  <c r="CP55" i="1"/>
  <c r="CP56" i="1"/>
  <c r="CP57" i="1"/>
  <c r="CP58" i="1"/>
  <c r="CP59" i="1"/>
  <c r="CP60" i="1"/>
  <c r="CP61" i="1"/>
  <c r="CP62" i="1"/>
  <c r="CP63" i="1"/>
  <c r="CP64" i="1"/>
  <c r="CP65" i="1"/>
  <c r="CP66" i="1"/>
  <c r="CP67" i="1"/>
  <c r="CP68" i="1"/>
  <c r="CP69" i="1"/>
  <c r="CP70" i="1"/>
  <c r="CP71" i="1"/>
  <c r="CP72" i="1"/>
  <c r="CP73" i="1"/>
  <c r="CP74" i="1"/>
  <c r="CP75" i="1"/>
  <c r="CP76" i="1"/>
  <c r="CP77" i="1"/>
  <c r="CP78" i="1"/>
  <c r="CP79" i="1"/>
  <c r="CP80" i="1"/>
  <c r="CP81" i="1"/>
  <c r="CP82" i="1"/>
  <c r="CP83" i="1"/>
  <c r="CP84" i="1"/>
  <c r="CP85" i="1"/>
  <c r="CP86" i="1"/>
  <c r="CP87" i="1"/>
  <c r="CP88" i="1"/>
  <c r="CP89" i="1"/>
  <c r="CP90" i="1"/>
  <c r="CP91" i="1"/>
  <c r="CP92" i="1"/>
  <c r="CP93" i="1"/>
  <c r="CP94" i="1"/>
  <c r="CP95" i="1"/>
  <c r="CP96" i="1"/>
  <c r="CP97" i="1"/>
  <c r="CP98" i="1"/>
  <c r="CP99" i="1"/>
  <c r="CP100" i="1"/>
  <c r="CP101" i="1"/>
  <c r="CP102" i="1"/>
  <c r="CP103" i="1"/>
  <c r="CP104" i="1"/>
  <c r="CP105" i="1"/>
  <c r="CP106" i="1"/>
  <c r="CP107" i="1"/>
  <c r="CP108" i="1"/>
  <c r="CP109" i="1"/>
  <c r="CP110" i="1"/>
  <c r="CP111" i="1"/>
  <c r="CP112" i="1"/>
  <c r="CP113" i="1"/>
  <c r="CP114" i="1"/>
  <c r="CP115" i="1"/>
  <c r="CP116" i="1"/>
  <c r="CP117" i="1"/>
  <c r="CP118" i="1"/>
  <c r="CP119" i="1"/>
  <c r="CP120" i="1"/>
  <c r="CP121" i="1"/>
  <c r="CP122" i="1"/>
  <c r="CP123" i="1"/>
  <c r="CP124" i="1"/>
  <c r="CP125" i="1"/>
  <c r="CP126" i="1"/>
  <c r="CP127" i="1"/>
  <c r="CP128" i="1"/>
  <c r="CP129" i="1"/>
  <c r="CP130" i="1"/>
  <c r="CP131" i="1"/>
  <c r="CP132" i="1"/>
  <c r="CP133" i="1"/>
  <c r="CP134" i="1"/>
  <c r="CP135" i="1"/>
  <c r="CP136" i="1"/>
  <c r="CP137" i="1"/>
  <c r="CP138" i="1"/>
  <c r="CP139" i="1"/>
  <c r="CP140" i="1"/>
  <c r="CP141" i="1"/>
  <c r="CP142" i="1"/>
  <c r="CP143" i="1"/>
  <c r="CP144" i="1"/>
  <c r="CP145" i="1"/>
  <c r="CP146" i="1"/>
  <c r="CP147" i="1"/>
  <c r="CP148" i="1"/>
  <c r="CP149" i="1"/>
  <c r="CP150" i="1"/>
  <c r="CP151" i="1"/>
  <c r="CP152" i="1"/>
  <c r="CP153" i="1"/>
  <c r="CP154" i="1"/>
  <c r="CP5" i="1"/>
  <c r="DK105" i="1"/>
  <c r="DK80" i="1"/>
  <c r="DK55" i="1"/>
  <c r="DK30" i="1"/>
  <c r="DK5" i="1"/>
  <c r="DK131" i="1"/>
  <c r="DK106" i="1"/>
  <c r="DK81" i="1"/>
  <c r="DK56" i="1"/>
  <c r="DK31" i="1"/>
  <c r="DK6" i="1"/>
  <c r="DK132" i="1"/>
  <c r="DK107" i="1"/>
  <c r="DK82" i="1"/>
  <c r="DK57" i="1"/>
  <c r="DK32" i="1"/>
  <c r="DK7" i="1"/>
  <c r="DK133" i="1"/>
  <c r="DK108" i="1"/>
  <c r="DK83" i="1"/>
  <c r="DK58" i="1"/>
  <c r="DK33" i="1"/>
  <c r="DK8" i="1"/>
  <c r="DK134" i="1"/>
  <c r="DK109" i="1"/>
  <c r="DK84" i="1"/>
  <c r="DK59" i="1"/>
  <c r="DK34" i="1"/>
  <c r="DK9" i="1"/>
  <c r="DK135" i="1"/>
  <c r="DK110" i="1"/>
  <c r="DK85" i="1"/>
  <c r="DK60" i="1"/>
  <c r="DK35" i="1"/>
  <c r="DK10" i="1"/>
  <c r="DK136" i="1"/>
  <c r="DK111" i="1"/>
  <c r="DK86" i="1"/>
  <c r="DK61" i="1"/>
  <c r="DK36" i="1"/>
  <c r="DK11" i="1"/>
  <c r="DK137" i="1"/>
  <c r="DK112" i="1"/>
  <c r="DK87" i="1"/>
  <c r="DK62" i="1"/>
  <c r="DK37" i="1"/>
  <c r="DK12" i="1"/>
  <c r="DK138" i="1"/>
  <c r="DK113" i="1"/>
  <c r="DK88" i="1"/>
  <c r="DK63" i="1"/>
  <c r="DK38" i="1"/>
  <c r="DK13" i="1"/>
  <c r="DK139" i="1"/>
  <c r="DK114" i="1"/>
  <c r="DK89" i="1"/>
  <c r="DK64" i="1"/>
  <c r="DK39" i="1"/>
  <c r="DK14" i="1"/>
  <c r="DK140" i="1"/>
  <c r="DK115" i="1"/>
  <c r="DK90" i="1"/>
  <c r="DK65" i="1"/>
  <c r="DK40" i="1"/>
  <c r="DK15" i="1"/>
  <c r="DK141" i="1"/>
  <c r="DK116" i="1"/>
  <c r="DK91" i="1"/>
  <c r="DK66" i="1"/>
  <c r="DK41" i="1"/>
  <c r="DK16" i="1"/>
  <c r="DK142" i="1"/>
  <c r="DK117" i="1"/>
  <c r="DK92" i="1"/>
  <c r="DK67" i="1"/>
  <c r="DK42" i="1"/>
  <c r="DK17" i="1"/>
  <c r="DK143" i="1"/>
  <c r="DK118" i="1"/>
  <c r="DK93" i="1"/>
  <c r="DK68" i="1"/>
  <c r="DK43" i="1"/>
  <c r="DK18" i="1"/>
  <c r="DK144" i="1"/>
  <c r="DK119" i="1"/>
  <c r="DK94" i="1"/>
  <c r="DK69" i="1"/>
  <c r="DK44" i="1"/>
  <c r="DK19" i="1"/>
  <c r="DK145" i="1"/>
  <c r="DK120" i="1"/>
  <c r="DK95" i="1"/>
  <c r="DK70" i="1"/>
  <c r="DK45" i="1"/>
  <c r="DK20" i="1"/>
  <c r="DK146" i="1"/>
  <c r="DK121" i="1"/>
  <c r="DK96" i="1"/>
  <c r="DK71" i="1"/>
  <c r="DK46" i="1"/>
  <c r="DK21" i="1"/>
  <c r="DK147" i="1"/>
  <c r="DK122" i="1"/>
  <c r="DK97" i="1"/>
  <c r="DK72" i="1"/>
  <c r="DK47" i="1"/>
  <c r="DK22" i="1"/>
  <c r="DK148" i="1"/>
  <c r="DK123" i="1"/>
  <c r="DK98" i="1"/>
  <c r="DK73" i="1"/>
  <c r="DK48" i="1"/>
  <c r="DK23" i="1"/>
  <c r="DK149" i="1"/>
  <c r="DK124" i="1"/>
  <c r="DK99" i="1"/>
  <c r="DK74" i="1"/>
  <c r="DK49" i="1"/>
  <c r="DK24" i="1"/>
  <c r="DK150" i="1"/>
  <c r="DK125" i="1"/>
  <c r="DK100" i="1"/>
  <c r="DK75" i="1"/>
  <c r="DK50" i="1"/>
  <c r="DK25" i="1"/>
  <c r="DK151" i="1"/>
  <c r="DK126" i="1"/>
  <c r="DK101" i="1"/>
  <c r="DK76" i="1"/>
  <c r="DK51" i="1"/>
  <c r="DK26" i="1"/>
  <c r="DK152" i="1"/>
  <c r="DK127" i="1"/>
  <c r="DK102" i="1"/>
  <c r="DK77" i="1"/>
  <c r="DK52" i="1"/>
  <c r="DK27" i="1"/>
  <c r="DK153" i="1"/>
  <c r="DK128" i="1"/>
  <c r="DK103" i="1"/>
  <c r="DK78" i="1"/>
  <c r="DK53" i="1"/>
  <c r="DK28" i="1"/>
  <c r="DK154" i="1"/>
  <c r="DK129" i="1"/>
  <c r="DK104" i="1"/>
  <c r="DK79" i="1"/>
  <c r="DK54" i="1"/>
  <c r="DK29" i="1"/>
  <c r="DK130" i="1"/>
  <c r="BL58" i="1"/>
  <c r="BL57" i="1"/>
  <c r="BL56" i="1"/>
  <c r="BL55" i="1"/>
  <c r="BL54" i="1"/>
  <c r="BL53" i="1"/>
  <c r="BL52" i="1"/>
  <c r="BL51" i="1"/>
  <c r="BL50" i="1"/>
  <c r="BL49" i="1"/>
  <c r="BL48" i="1"/>
  <c r="BL47" i="1"/>
  <c r="BL46" i="1"/>
  <c r="BL45" i="1"/>
  <c r="BL44" i="1"/>
  <c r="BL43" i="1"/>
  <c r="BL42" i="1"/>
  <c r="BL41" i="1"/>
  <c r="BL40" i="1"/>
  <c r="BL39" i="1"/>
  <c r="BL38" i="1"/>
  <c r="BL37" i="1"/>
  <c r="BL36" i="1"/>
  <c r="BL35" i="1"/>
  <c r="BL34" i="1"/>
  <c r="BL33" i="1"/>
  <c r="BL32" i="1"/>
  <c r="BL31" i="1"/>
  <c r="BL30" i="1"/>
  <c r="BL29" i="1"/>
  <c r="BL28" i="1"/>
  <c r="BL27" i="1"/>
  <c r="BL26" i="1"/>
  <c r="BL25" i="1"/>
  <c r="BL24" i="1"/>
  <c r="BL23" i="1"/>
  <c r="BL22" i="1"/>
  <c r="BL21" i="1"/>
  <c r="BL20" i="1"/>
  <c r="BL19" i="1"/>
  <c r="BL18" i="1"/>
  <c r="BL17" i="1"/>
  <c r="BL16" i="1"/>
  <c r="BL15" i="1"/>
  <c r="BL14" i="1"/>
  <c r="BL13" i="1"/>
  <c r="BL12" i="1"/>
  <c r="BL11" i="1"/>
  <c r="BL10" i="1"/>
  <c r="BL9" i="1"/>
  <c r="BL8" i="1"/>
  <c r="BL7" i="1"/>
  <c r="BL6" i="1"/>
  <c r="BL5" i="1"/>
  <c r="EP9" i="1" l="1"/>
  <c r="AA10" i="18" s="1"/>
  <c r="Q46" i="18"/>
  <c r="Q47" i="18"/>
  <c r="EP10" i="1" l="1"/>
  <c r="AA11" i="18" s="1"/>
  <c r="Q45" i="18"/>
  <c r="EP11" i="1" l="1"/>
  <c r="EP12" i="1" l="1"/>
  <c r="AA12" i="18"/>
  <c r="EP13" i="1" l="1"/>
  <c r="AA13" i="18"/>
  <c r="AA14" i="18" l="1"/>
  <c r="EP15" i="1"/>
  <c r="ES14" i="1"/>
  <c r="AD15" i="18" s="1"/>
  <c r="AA16" i="18" l="1"/>
  <c r="EP16" i="1"/>
  <c r="AA17" i="18" l="1"/>
  <c r="EP17" i="1"/>
  <c r="S7" i="18"/>
  <c r="S8" i="18"/>
  <c r="S9" i="18"/>
  <c r="S10" i="18"/>
  <c r="S11" i="18"/>
  <c r="S12" i="18"/>
  <c r="S13" i="18"/>
  <c r="S14" i="18"/>
  <c r="AA18" i="18" l="1"/>
  <c r="EP18" i="1"/>
  <c r="ES29" i="1"/>
  <c r="Q37" i="18"/>
  <c r="Q38" i="18"/>
  <c r="Q7" i="18"/>
  <c r="Q8" i="18"/>
  <c r="Q9" i="18"/>
  <c r="Q10" i="18"/>
  <c r="Q11" i="18"/>
  <c r="Q12" i="18"/>
  <c r="Q13" i="18"/>
  <c r="Q14" i="18"/>
  <c r="AA19" i="18" l="1"/>
  <c r="EP19" i="1"/>
  <c r="AJ26" i="1"/>
  <c r="ES7" i="1" l="1"/>
  <c r="AD8" i="18" s="1"/>
  <c r="ES15" i="1"/>
  <c r="AD16" i="18" s="1"/>
  <c r="ES18" i="1"/>
  <c r="AD19" i="18" s="1"/>
  <c r="ES10" i="1"/>
  <c r="AD11" i="18" s="1"/>
  <c r="ES6" i="1"/>
  <c r="AD7" i="18" s="1"/>
  <c r="ES9" i="1"/>
  <c r="AD10" i="18" s="1"/>
  <c r="ES4" i="1"/>
  <c r="ES17" i="1"/>
  <c r="AD18" i="18" s="1"/>
  <c r="ES12" i="1"/>
  <c r="AD13" i="18" s="1"/>
  <c r="ES3" i="1"/>
  <c r="ES11" i="1"/>
  <c r="AD12" i="18" s="1"/>
  <c r="ES8" i="1"/>
  <c r="AD9" i="18" s="1"/>
  <c r="ES16" i="1"/>
  <c r="AD17" i="18" s="1"/>
  <c r="ES5" i="1"/>
  <c r="AD6" i="18" s="1"/>
  <c r="ES13" i="1"/>
  <c r="AD14" i="18" s="1"/>
  <c r="AA20" i="18"/>
  <c r="ES28" i="1"/>
  <c r="ES27" i="1"/>
  <c r="AD28" i="18" s="1"/>
  <c r="ES19" i="1"/>
  <c r="AD20" i="18" s="1"/>
  <c r="EP20" i="1"/>
  <c r="AH20" i="1"/>
  <c r="AH19" i="1"/>
  <c r="EP21" i="1" l="1"/>
  <c r="AA22" i="18" s="1"/>
  <c r="AA21" i="18"/>
  <c r="AI19" i="1"/>
  <c r="AJ19" i="1"/>
  <c r="AJ20" i="1"/>
  <c r="AI20" i="1"/>
  <c r="EP22" i="1" l="1"/>
  <c r="AA23" i="18" s="1"/>
  <c r="O20" i="1"/>
  <c r="K20" i="1"/>
  <c r="K19" i="1"/>
  <c r="O19" i="1"/>
  <c r="EP23" i="1"/>
  <c r="EP24" i="1" l="1"/>
  <c r="ES22" i="1" s="1"/>
  <c r="AD23" i="18" s="1"/>
  <c r="AA24" i="18"/>
  <c r="EP25" i="1" l="1"/>
  <c r="ES23" i="1"/>
  <c r="AD24" i="18" s="1"/>
  <c r="ES20" i="1"/>
  <c r="AD21" i="18" s="1"/>
  <c r="ES21" i="1"/>
  <c r="AD22" i="18" s="1"/>
  <c r="EP26" i="1"/>
  <c r="AA26" i="18"/>
  <c r="ES24" i="1"/>
  <c r="AD25" i="18" s="1"/>
  <c r="AA25" i="18"/>
  <c r="ES25" i="1"/>
  <c r="AD26" i="18" s="1"/>
  <c r="B156" i="20"/>
  <c r="ES26" i="1" l="1"/>
  <c r="AD27" i="18" s="1"/>
  <c r="AA27" i="18"/>
  <c r="AH24" i="1" l="1"/>
  <c r="AH25" i="1"/>
  <c r="AJ24" i="1" l="1"/>
  <c r="AI24" i="1"/>
  <c r="AI25" i="1"/>
  <c r="AJ25" i="1"/>
  <c r="K24" i="1" l="1"/>
  <c r="O24" i="1"/>
  <c r="K25" i="1"/>
  <c r="O25" i="1"/>
  <c r="FE4" i="1"/>
  <c r="FD4" i="1" s="1"/>
  <c r="FE5" i="1"/>
  <c r="FD5" i="1" s="1"/>
  <c r="FE6" i="1"/>
  <c r="FD6" i="1" s="1"/>
  <c r="FE7" i="1"/>
  <c r="FD7" i="1" s="1"/>
  <c r="FD8" i="1"/>
  <c r="FE9" i="1"/>
  <c r="FD9" i="1" s="1"/>
  <c r="FE10" i="1"/>
  <c r="FD10" i="1" s="1"/>
  <c r="FC10" i="1" s="1"/>
  <c r="FE11" i="1"/>
  <c r="FD11" i="1" s="1"/>
  <c r="FC11" i="1" s="1"/>
  <c r="FE12" i="1"/>
  <c r="FD12" i="1" s="1"/>
  <c r="FC12" i="1" s="1"/>
  <c r="FE13" i="1"/>
  <c r="FD13" i="1" s="1"/>
  <c r="FC13" i="1" s="1"/>
  <c r="FE14" i="1"/>
  <c r="FD14" i="1" s="1"/>
  <c r="FC14" i="1" s="1"/>
  <c r="FE15" i="1"/>
  <c r="FD15" i="1" s="1"/>
  <c r="FC15" i="1" s="1"/>
  <c r="FE16" i="1"/>
  <c r="FD16" i="1" s="1"/>
  <c r="FC16" i="1" s="1"/>
  <c r="FE17" i="1"/>
  <c r="FD17" i="1" s="1"/>
  <c r="FC17" i="1" s="1"/>
  <c r="FE18" i="1"/>
  <c r="FD18" i="1" s="1"/>
  <c r="FC18" i="1" s="1"/>
  <c r="FE19" i="1"/>
  <c r="FD19" i="1" s="1"/>
  <c r="FC19" i="1" s="1"/>
  <c r="FE20" i="1"/>
  <c r="FD20" i="1" s="1"/>
  <c r="FC20" i="1" s="1"/>
  <c r="FE21" i="1"/>
  <c r="FD21" i="1" s="1"/>
  <c r="FC21" i="1" s="1"/>
  <c r="FE22" i="1"/>
  <c r="FD22" i="1" s="1"/>
  <c r="FC22" i="1" s="1"/>
  <c r="FE23" i="1"/>
  <c r="FD23" i="1" s="1"/>
  <c r="FC23" i="1" s="1"/>
  <c r="FC4" i="1" l="1"/>
  <c r="FC5" i="1" s="1"/>
  <c r="FC6" i="1" l="1"/>
  <c r="FC7" i="1" l="1"/>
  <c r="FC8" i="1" l="1"/>
  <c r="B65" i="1"/>
  <c r="B66" i="1"/>
  <c r="B67" i="1"/>
  <c r="B68" i="1"/>
  <c r="B69" i="1"/>
  <c r="B70" i="1"/>
  <c r="B35" i="1"/>
  <c r="B36" i="1"/>
  <c r="B37" i="1"/>
  <c r="B38" i="1"/>
  <c r="B39" i="1"/>
  <c r="B40" i="1"/>
  <c r="B41" i="1"/>
  <c r="B42" i="1"/>
  <c r="B43" i="1"/>
  <c r="B44" i="1"/>
  <c r="B45" i="1"/>
  <c r="B46" i="1"/>
  <c r="B47" i="1"/>
  <c r="B48" i="1"/>
  <c r="B49" i="1"/>
  <c r="B50" i="1"/>
  <c r="B51" i="1"/>
  <c r="B52" i="1"/>
  <c r="B53" i="1"/>
  <c r="B54" i="1"/>
  <c r="B55" i="1"/>
  <c r="B56" i="1"/>
  <c r="B57" i="1"/>
  <c r="B58" i="1"/>
  <c r="B59" i="1"/>
  <c r="B34" i="1"/>
  <c r="B20" i="1"/>
  <c r="B21" i="1"/>
  <c r="B22" i="1"/>
  <c r="B23" i="1"/>
  <c r="B24" i="1"/>
  <c r="B25" i="1"/>
  <c r="B19" i="1"/>
  <c r="FC9" i="1" l="1"/>
  <c r="FF6" i="1" l="1"/>
  <c r="FF3" i="1"/>
  <c r="FF5" i="1"/>
  <c r="FF4" i="1"/>
  <c r="FF23" i="1"/>
  <c r="FF15" i="1"/>
  <c r="FF8" i="1"/>
  <c r="FF7" i="1"/>
  <c r="FF19" i="1"/>
  <c r="FF20" i="1"/>
  <c r="FF11" i="1"/>
  <c r="FF9" i="1"/>
  <c r="FF12" i="1"/>
  <c r="FF16" i="1"/>
  <c r="FF13" i="1"/>
  <c r="FF17" i="1"/>
  <c r="FF10" i="1"/>
  <c r="FF21" i="1"/>
  <c r="FF18" i="1"/>
  <c r="FF22" i="1"/>
  <c r="FF14" i="1"/>
  <c r="B64" i="1" l="1"/>
  <c r="A22" i="1"/>
  <c r="A23" i="1"/>
  <c r="A24" i="1"/>
  <c r="A20" i="1"/>
  <c r="A21" i="1"/>
  <c r="A25" i="1"/>
  <c r="A26" i="1"/>
  <c r="A27" i="1"/>
  <c r="A28" i="1"/>
  <c r="B61" i="1"/>
  <c r="A61" i="1" s="1"/>
  <c r="A19" i="1"/>
  <c r="J158" i="20" l="1"/>
  <c r="K158" i="20" s="1"/>
  <c r="J150" i="20"/>
  <c r="K150" i="20" s="1"/>
  <c r="J115" i="20"/>
  <c r="K115" i="20" s="1"/>
  <c r="J109" i="20"/>
  <c r="K109" i="20" s="1"/>
  <c r="J94" i="20"/>
  <c r="K94" i="20" s="1"/>
  <c r="J82" i="20"/>
  <c r="K82" i="20" s="1"/>
  <c r="J70" i="20"/>
  <c r="K70" i="20" s="1"/>
  <c r="J35" i="20"/>
  <c r="K35" i="20" s="1"/>
  <c r="J16" i="20"/>
  <c r="K16" i="20" s="1"/>
  <c r="J87" i="20"/>
  <c r="K87" i="20" s="1"/>
  <c r="J40" i="20"/>
  <c r="K40" i="20" s="1"/>
  <c r="J147" i="20"/>
  <c r="K147" i="20" s="1"/>
  <c r="J96" i="20"/>
  <c r="K96" i="20" s="1"/>
  <c r="J72" i="20"/>
  <c r="K72" i="20" s="1"/>
  <c r="J18" i="20"/>
  <c r="K18" i="20" s="1"/>
  <c r="J108" i="20"/>
  <c r="K108" i="20" s="1"/>
  <c r="J46" i="20"/>
  <c r="K46" i="20" s="1"/>
  <c r="J43" i="20"/>
  <c r="K43" i="20" s="1"/>
  <c r="J152" i="20"/>
  <c r="K152" i="20" s="1"/>
  <c r="J45" i="20"/>
  <c r="K45" i="20" s="1"/>
  <c r="J151" i="20"/>
  <c r="K151" i="20" s="1"/>
  <c r="J157" i="20"/>
  <c r="K157" i="20" s="1"/>
  <c r="J153" i="20"/>
  <c r="K153" i="20" s="1"/>
  <c r="J117" i="20"/>
  <c r="K117" i="20" s="1"/>
  <c r="J119" i="20"/>
  <c r="K119" i="20" s="1"/>
  <c r="J97" i="20"/>
  <c r="K97" i="20" s="1"/>
  <c r="J85" i="20"/>
  <c r="K85" i="20" s="1"/>
  <c r="J73" i="20"/>
  <c r="K73" i="20" s="1"/>
  <c r="J38" i="20"/>
  <c r="K38" i="20" s="1"/>
  <c r="J19" i="20"/>
  <c r="K19" i="20" s="1"/>
  <c r="J34" i="20"/>
  <c r="K34" i="20" s="1"/>
  <c r="J44" i="20"/>
  <c r="K44" i="20" s="1"/>
  <c r="J149" i="20"/>
  <c r="K149" i="20" s="1"/>
  <c r="J118" i="20"/>
  <c r="K118" i="20" s="1"/>
  <c r="J98" i="20"/>
  <c r="K98" i="20" s="1"/>
  <c r="J74" i="20"/>
  <c r="K74" i="20" s="1"/>
  <c r="J39" i="20"/>
  <c r="K39" i="20" s="1"/>
  <c r="J148" i="20"/>
  <c r="K148" i="20" s="1"/>
  <c r="J116" i="20"/>
  <c r="K116" i="20" s="1"/>
  <c r="J95" i="20"/>
  <c r="K95" i="20" s="1"/>
  <c r="J71" i="20"/>
  <c r="K71" i="20" s="1"/>
  <c r="J36" i="20"/>
  <c r="K36" i="20" s="1"/>
  <c r="K107" i="20"/>
  <c r="J32" i="20"/>
  <c r="K32" i="20" s="1"/>
  <c r="J155" i="20"/>
  <c r="K155" i="20" s="1"/>
  <c r="K106" i="20"/>
  <c r="J112" i="20"/>
  <c r="K112" i="20" s="1"/>
  <c r="J42" i="20"/>
  <c r="K42" i="20" s="1"/>
  <c r="J29" i="20"/>
  <c r="K29" i="20" s="1"/>
  <c r="J154" i="20"/>
  <c r="K154" i="20" s="1"/>
  <c r="J99" i="20"/>
  <c r="K99" i="20" s="1"/>
  <c r="J75" i="20"/>
  <c r="K75" i="20" s="1"/>
  <c r="J21" i="20"/>
  <c r="K21" i="20" s="1"/>
  <c r="J84" i="20"/>
  <c r="K84" i="20" s="1"/>
  <c r="J37" i="20"/>
  <c r="K37" i="20" s="1"/>
  <c r="J146" i="20"/>
  <c r="K146" i="20" s="1"/>
  <c r="J33" i="20"/>
  <c r="K33" i="20" s="1"/>
  <c r="J145" i="20"/>
  <c r="K145" i="20" s="1"/>
  <c r="J113" i="20"/>
  <c r="K113" i="20" s="1"/>
  <c r="J30" i="20"/>
  <c r="K30" i="20" s="1"/>
  <c r="J47" i="20"/>
  <c r="K47" i="20" s="1"/>
  <c r="J144" i="20"/>
  <c r="K144" i="20" s="1"/>
  <c r="J31" i="20"/>
  <c r="K31" i="20" s="1"/>
  <c r="J120" i="20"/>
  <c r="K120" i="20" s="1"/>
  <c r="J83" i="20"/>
  <c r="K83" i="20" s="1"/>
  <c r="J86" i="20"/>
  <c r="K86" i="20" s="1"/>
  <c r="J20" i="20"/>
  <c r="K20" i="20" s="1"/>
  <c r="J110" i="20"/>
  <c r="K110" i="20" s="1"/>
  <c r="L19" i="20" l="1"/>
  <c r="M19" i="20" s="1"/>
  <c r="L32" i="20"/>
  <c r="L144" i="20"/>
  <c r="L75" i="20"/>
  <c r="M75" i="20" s="1"/>
  <c r="N75" i="20" s="1"/>
  <c r="L74" i="20"/>
  <c r="M74" i="20" s="1"/>
  <c r="N74" i="20" s="1"/>
  <c r="L34" i="20"/>
  <c r="L85" i="20"/>
  <c r="M85" i="20" s="1"/>
  <c r="L153" i="20"/>
  <c r="M153" i="20" s="1"/>
  <c r="L152" i="20"/>
  <c r="M152" i="20" s="1"/>
  <c r="N152" i="20" s="1"/>
  <c r="L18" i="20"/>
  <c r="M18" i="20" s="1"/>
  <c r="N18" i="20" s="1"/>
  <c r="L40" i="20"/>
  <c r="M40" i="20" s="1"/>
  <c r="N40" i="20" s="1"/>
  <c r="L70" i="20"/>
  <c r="M70" i="20" s="1"/>
  <c r="N70" i="20" s="1"/>
  <c r="L115" i="20"/>
  <c r="M115" i="20" s="1"/>
  <c r="L83" i="20"/>
  <c r="M83" i="20" s="1"/>
  <c r="L146" i="20"/>
  <c r="L95" i="20"/>
  <c r="M95" i="20" s="1"/>
  <c r="L73" i="20"/>
  <c r="M73" i="20" s="1"/>
  <c r="N73" i="20" s="1"/>
  <c r="L45" i="20"/>
  <c r="M45" i="20" s="1"/>
  <c r="N45" i="20" s="1"/>
  <c r="L147" i="20"/>
  <c r="M147" i="20" s="1"/>
  <c r="L109" i="20"/>
  <c r="M109" i="20" s="1"/>
  <c r="L120" i="20"/>
  <c r="M120" i="20" s="1"/>
  <c r="L37" i="20"/>
  <c r="M37" i="20" s="1"/>
  <c r="L112" i="20"/>
  <c r="M112" i="20" s="1"/>
  <c r="N112" i="20" s="1"/>
  <c r="L116" i="20"/>
  <c r="M116" i="20" s="1"/>
  <c r="N116" i="20" s="1"/>
  <c r="L20" i="20"/>
  <c r="M20" i="20" s="1"/>
  <c r="N20" i="20" s="1"/>
  <c r="L33" i="20"/>
  <c r="L84" i="20"/>
  <c r="M84" i="20" s="1"/>
  <c r="L154" i="20"/>
  <c r="M154" i="20" s="1"/>
  <c r="M106" i="20"/>
  <c r="O106" i="20" s="1"/>
  <c r="L36" i="20"/>
  <c r="M36" i="20" s="1"/>
  <c r="L148" i="20"/>
  <c r="L118" i="20"/>
  <c r="M118" i="20" s="1"/>
  <c r="L97" i="20"/>
  <c r="M97" i="20" s="1"/>
  <c r="L157" i="20"/>
  <c r="M157" i="20" s="1"/>
  <c r="N157" i="20" s="1"/>
  <c r="O157" i="20" s="1"/>
  <c r="L43" i="20"/>
  <c r="M43" i="20" s="1"/>
  <c r="L72" i="20"/>
  <c r="M72" i="20" s="1"/>
  <c r="N72" i="20" s="1"/>
  <c r="L87" i="20"/>
  <c r="M87" i="20" s="1"/>
  <c r="N87" i="20" s="1"/>
  <c r="L82" i="20"/>
  <c r="M82" i="20" s="1"/>
  <c r="N82" i="20" s="1"/>
  <c r="L150" i="20"/>
  <c r="M150" i="20" s="1"/>
  <c r="L113" i="20"/>
  <c r="M113" i="20" s="1"/>
  <c r="L42" i="20"/>
  <c r="M42" i="20" s="1"/>
  <c r="L44" i="20"/>
  <c r="M44" i="20" s="1"/>
  <c r="L117" i="20"/>
  <c r="M117" i="20" s="1"/>
  <c r="L108" i="20"/>
  <c r="M108" i="20" s="1"/>
  <c r="L35" i="20"/>
  <c r="M35" i="20" s="1"/>
  <c r="N35" i="20" s="1"/>
  <c r="L110" i="20"/>
  <c r="M110" i="20" s="1"/>
  <c r="L47" i="20"/>
  <c r="M47" i="20" s="1"/>
  <c r="N47" i="20" s="1"/>
  <c r="L145" i="20"/>
  <c r="L99" i="20"/>
  <c r="M99" i="20" s="1"/>
  <c r="N99" i="20" s="1"/>
  <c r="M107" i="20"/>
  <c r="O107" i="20" s="1"/>
  <c r="L98" i="20"/>
  <c r="M98" i="20" s="1"/>
  <c r="L86" i="20"/>
  <c r="M86" i="20" s="1"/>
  <c r="L31" i="20"/>
  <c r="L30" i="20"/>
  <c r="L21" i="20"/>
  <c r="M21" i="20" s="1"/>
  <c r="N21" i="20" s="1"/>
  <c r="L29" i="20"/>
  <c r="L155" i="20"/>
  <c r="M155" i="20" s="1"/>
  <c r="L71" i="20"/>
  <c r="M71" i="20" s="1"/>
  <c r="N71" i="20" s="1"/>
  <c r="L39" i="20"/>
  <c r="M39" i="20" s="1"/>
  <c r="L149" i="20"/>
  <c r="L38" i="20"/>
  <c r="M38" i="20" s="1"/>
  <c r="N38" i="20" s="1"/>
  <c r="L119" i="20"/>
  <c r="M119" i="20" s="1"/>
  <c r="N119" i="20" s="1"/>
  <c r="L151" i="20"/>
  <c r="M151" i="20" s="1"/>
  <c r="L46" i="20"/>
  <c r="M46" i="20" s="1"/>
  <c r="N46" i="20" s="1"/>
  <c r="L96" i="20"/>
  <c r="M96" i="20" s="1"/>
  <c r="L16" i="20"/>
  <c r="M16" i="20" s="1"/>
  <c r="N16" i="20" s="1"/>
  <c r="L94" i="20"/>
  <c r="M94" i="20" s="1"/>
  <c r="N94" i="20" s="1"/>
  <c r="L158" i="20"/>
  <c r="M158" i="20" s="1"/>
  <c r="N158" i="20" s="1"/>
  <c r="O158" i="20" s="1"/>
  <c r="B41" i="20"/>
  <c r="B15" i="20"/>
  <c r="B178" i="20"/>
  <c r="B17" i="20"/>
  <c r="N154" i="20" l="1"/>
  <c r="N151" i="20"/>
  <c r="N39" i="20"/>
  <c r="N98" i="20"/>
  <c r="N117" i="20"/>
  <c r="N150" i="20"/>
  <c r="N43" i="20"/>
  <c r="N84" i="20"/>
  <c r="N147" i="20"/>
  <c r="N85" i="20"/>
  <c r="N108" i="20"/>
  <c r="O108" i="20" s="1"/>
  <c r="N113" i="20"/>
  <c r="N118" i="20"/>
  <c r="N109" i="20"/>
  <c r="N95" i="20"/>
  <c r="N110" i="20"/>
  <c r="N44" i="20"/>
  <c r="N36" i="20"/>
  <c r="N37" i="20"/>
  <c r="N83" i="20"/>
  <c r="N86" i="20"/>
  <c r="N153" i="20"/>
  <c r="N96" i="20"/>
  <c r="N155" i="20"/>
  <c r="N42" i="20"/>
  <c r="N97" i="20"/>
  <c r="N120" i="20"/>
  <c r="N115" i="20"/>
  <c r="N19" i="20"/>
  <c r="B62" i="20"/>
  <c r="A31" i="1" l="1"/>
  <c r="A32" i="1"/>
  <c r="L29" i="18" l="1"/>
  <c r="L28" i="18"/>
  <c r="L27" i="18"/>
  <c r="L26" i="18"/>
  <c r="L25" i="18"/>
  <c r="L24" i="18"/>
  <c r="L23" i="18"/>
  <c r="L22" i="18"/>
  <c r="L21" i="18"/>
  <c r="I29" i="18"/>
  <c r="I28" i="18"/>
  <c r="I27" i="18"/>
  <c r="I26" i="18"/>
  <c r="I25" i="18"/>
  <c r="I24" i="18"/>
  <c r="I23" i="18"/>
  <c r="I22" i="18"/>
  <c r="I21" i="18"/>
  <c r="Q29" i="18" l="1"/>
  <c r="Q28" i="18"/>
  <c r="Q27" i="18"/>
  <c r="Q26" i="18"/>
  <c r="Q25" i="18"/>
  <c r="Q24" i="18"/>
  <c r="Q23" i="18"/>
  <c r="Q22" i="18"/>
  <c r="N22" i="18"/>
  <c r="N23" i="18"/>
  <c r="N24" i="18"/>
  <c r="N25" i="18"/>
  <c r="N26" i="18"/>
  <c r="N27" i="18"/>
  <c r="N28" i="18"/>
  <c r="N29" i="18"/>
  <c r="K22" i="18"/>
  <c r="K23" i="18"/>
  <c r="K24" i="18"/>
  <c r="K25" i="18"/>
  <c r="K26" i="18"/>
  <c r="K27" i="18"/>
  <c r="K28" i="18"/>
  <c r="K29" i="18"/>
  <c r="R7" i="18"/>
  <c r="R8" i="18"/>
  <c r="R9" i="18"/>
  <c r="R10" i="18"/>
  <c r="R11" i="18"/>
  <c r="R12" i="18"/>
  <c r="R13" i="18"/>
  <c r="R14" i="18"/>
  <c r="T7" i="18"/>
  <c r="T8" i="18"/>
  <c r="T9" i="18"/>
  <c r="T10" i="18"/>
  <c r="T11" i="18"/>
  <c r="T12" i="18"/>
  <c r="T13" i="18"/>
  <c r="T14" i="18"/>
  <c r="B181" i="20" l="1"/>
  <c r="B122" i="20"/>
  <c r="B137" i="20"/>
  <c r="B160" i="20"/>
  <c r="B48" i="20"/>
  <c r="P47" i="18" l="1"/>
  <c r="P46" i="18"/>
  <c r="P45" i="18"/>
  <c r="S45" i="18"/>
  <c r="S47" i="18"/>
  <c r="S46" i="18"/>
  <c r="S38" i="18"/>
  <c r="S37" i="18"/>
  <c r="R6" i="18"/>
  <c r="BI5" i="18" l="1"/>
  <c r="BJ7" i="18"/>
  <c r="BI7" i="18" s="1"/>
  <c r="BH7" i="18" s="1"/>
  <c r="BJ8" i="18"/>
  <c r="BI8" i="18" s="1"/>
  <c r="BH8" i="18" s="1"/>
  <c r="BJ9" i="18"/>
  <c r="BI9" i="18" s="1"/>
  <c r="BH9" i="18" s="1"/>
  <c r="BJ10" i="18"/>
  <c r="BI10" i="18" s="1"/>
  <c r="BH10" i="18" s="1"/>
  <c r="BJ11" i="18"/>
  <c r="BI11" i="18" s="1"/>
  <c r="BH11" i="18" s="1"/>
  <c r="BJ12" i="18"/>
  <c r="BI12" i="18" s="1"/>
  <c r="BH12" i="18" s="1"/>
  <c r="BJ13" i="18"/>
  <c r="BI13" i="18" s="1"/>
  <c r="BH13" i="18" s="1"/>
  <c r="BJ14" i="18"/>
  <c r="BI14" i="18" s="1"/>
  <c r="BH14" i="18" s="1"/>
  <c r="BJ15" i="18"/>
  <c r="BI15" i="18" s="1"/>
  <c r="BH15" i="18" s="1"/>
  <c r="BJ16" i="18"/>
  <c r="BI16" i="18" s="1"/>
  <c r="BH16" i="18" s="1"/>
  <c r="BJ17" i="18"/>
  <c r="BI17" i="18" s="1"/>
  <c r="BH17" i="18" s="1"/>
  <c r="BJ18" i="18"/>
  <c r="BI18" i="18" s="1"/>
  <c r="BH18" i="18" s="1"/>
  <c r="BJ19" i="18"/>
  <c r="BI19" i="18" s="1"/>
  <c r="BH19" i="18" s="1"/>
  <c r="BJ20" i="18"/>
  <c r="BI20" i="18" s="1"/>
  <c r="BH20" i="18" s="1"/>
  <c r="BJ21" i="18"/>
  <c r="BI21" i="18" s="1"/>
  <c r="BH21" i="18" s="1"/>
  <c r="BJ22" i="18"/>
  <c r="BI22" i="18" s="1"/>
  <c r="BH22" i="18" s="1"/>
  <c r="BJ23" i="18"/>
  <c r="BI23" i="18" s="1"/>
  <c r="BH23" i="18" s="1"/>
  <c r="BJ24" i="18"/>
  <c r="BI24" i="18" s="1"/>
  <c r="BH24" i="18" s="1"/>
  <c r="J41" i="18"/>
  <c r="H41" i="18"/>
  <c r="AN2" i="18" l="1"/>
  <c r="AY2" i="18"/>
  <c r="AB3" i="18"/>
  <c r="AC3" i="18"/>
  <c r="AD3" i="18"/>
  <c r="AG3" i="18"/>
  <c r="AH3" i="18"/>
  <c r="AI3" i="18"/>
  <c r="AJ3" i="18"/>
  <c r="AK3" i="18"/>
  <c r="AL3" i="18"/>
  <c r="AN3" i="18"/>
  <c r="AO3" i="18"/>
  <c r="AP3" i="18"/>
  <c r="AQ3" i="18"/>
  <c r="AT3" i="18"/>
  <c r="AU3" i="18"/>
  <c r="AV3" i="18"/>
  <c r="AW3" i="18"/>
  <c r="AY3" i="18"/>
  <c r="AZ3" i="18"/>
  <c r="BA3" i="18"/>
  <c r="BB3" i="18"/>
  <c r="BE3" i="18"/>
  <c r="BF3" i="18"/>
  <c r="AG4" i="18"/>
  <c r="AH4" i="18"/>
  <c r="AI4" i="18"/>
  <c r="AJ4" i="18"/>
  <c r="AK4" i="18"/>
  <c r="AL4" i="18"/>
  <c r="AT4" i="18"/>
  <c r="AU4" i="18"/>
  <c r="AV4" i="18"/>
  <c r="AW4" i="18"/>
  <c r="BE4" i="18"/>
  <c r="BF4" i="18"/>
  <c r="AT5" i="18"/>
  <c r="AU5" i="18"/>
  <c r="AV5" i="18"/>
  <c r="AW5" i="18"/>
  <c r="BE5" i="18"/>
  <c r="BF5" i="18"/>
  <c r="AT6" i="18"/>
  <c r="AU6" i="18"/>
  <c r="AV6" i="18"/>
  <c r="AW6" i="18"/>
  <c r="BE6" i="18"/>
  <c r="BF6" i="18"/>
  <c r="AT7" i="18"/>
  <c r="AU7" i="18"/>
  <c r="AV7" i="18"/>
  <c r="AW7" i="18"/>
  <c r="BE7" i="18"/>
  <c r="BF7" i="18"/>
  <c r="AT8" i="18"/>
  <c r="AU8" i="18"/>
  <c r="AV8" i="18"/>
  <c r="AW8" i="18"/>
  <c r="BE8" i="18"/>
  <c r="BF8" i="18"/>
  <c r="AT9" i="18"/>
  <c r="AU9" i="18"/>
  <c r="AV9" i="18"/>
  <c r="AW9" i="18"/>
  <c r="BE9" i="18"/>
  <c r="BF9" i="18"/>
  <c r="AT10" i="18"/>
  <c r="AU10" i="18"/>
  <c r="AV10" i="18"/>
  <c r="AW10" i="18"/>
  <c r="BE10" i="18"/>
  <c r="BF10" i="18"/>
  <c r="AT11" i="18"/>
  <c r="AU11" i="18"/>
  <c r="AV11" i="18"/>
  <c r="AW11" i="18"/>
  <c r="BE11" i="18"/>
  <c r="BF11" i="18"/>
  <c r="AT12" i="18"/>
  <c r="AU12" i="18"/>
  <c r="AV12" i="18"/>
  <c r="AW12" i="18"/>
  <c r="BE12" i="18"/>
  <c r="BF12" i="18"/>
  <c r="AT13" i="18"/>
  <c r="AU13" i="18"/>
  <c r="AV13" i="18"/>
  <c r="AW13" i="18"/>
  <c r="BE13" i="18"/>
  <c r="BF13" i="18"/>
  <c r="AT14" i="18"/>
  <c r="AU14" i="18"/>
  <c r="AV14" i="18"/>
  <c r="AW14" i="18"/>
  <c r="BE14" i="18"/>
  <c r="BF14" i="18"/>
  <c r="AT15" i="18"/>
  <c r="AU15" i="18"/>
  <c r="AV15" i="18"/>
  <c r="AW15" i="18"/>
  <c r="BE15" i="18"/>
  <c r="BF15" i="18"/>
  <c r="AT16" i="18"/>
  <c r="AU16" i="18"/>
  <c r="AV16" i="18"/>
  <c r="AW16" i="18"/>
  <c r="BE16" i="18"/>
  <c r="BF16" i="18"/>
  <c r="AT17" i="18"/>
  <c r="AU17" i="18"/>
  <c r="AV17" i="18"/>
  <c r="AW17" i="18"/>
  <c r="BE17" i="18"/>
  <c r="BF17" i="18"/>
  <c r="AT18" i="18"/>
  <c r="AU18" i="18"/>
  <c r="AV18" i="18"/>
  <c r="AW18" i="18"/>
  <c r="BE18" i="18"/>
  <c r="BF18" i="18"/>
  <c r="AT19" i="18"/>
  <c r="AU19" i="18"/>
  <c r="AV19" i="18"/>
  <c r="AW19" i="18"/>
  <c r="BE19" i="18"/>
  <c r="BF19" i="18"/>
  <c r="AT20" i="18"/>
  <c r="AU20" i="18"/>
  <c r="AV20" i="18"/>
  <c r="AW20" i="18"/>
  <c r="BE20" i="18"/>
  <c r="BF20" i="18"/>
  <c r="AT21" i="18"/>
  <c r="AU21" i="18"/>
  <c r="AV21" i="18"/>
  <c r="AW21" i="18"/>
  <c r="BE21" i="18"/>
  <c r="BF21" i="18"/>
  <c r="AT22" i="18"/>
  <c r="AU22" i="18"/>
  <c r="AV22" i="18"/>
  <c r="AW22" i="18"/>
  <c r="BE22" i="18"/>
  <c r="BF22" i="18"/>
  <c r="AT23" i="18"/>
  <c r="AU23" i="18"/>
  <c r="AV23" i="18"/>
  <c r="AW23" i="18"/>
  <c r="BE23" i="18"/>
  <c r="BF23" i="18"/>
  <c r="AT24" i="18"/>
  <c r="AU24" i="18"/>
  <c r="AV24" i="18"/>
  <c r="AW24" i="18"/>
  <c r="BE24" i="18"/>
  <c r="BF24" i="18"/>
  <c r="AA3" i="18"/>
  <c r="AA2" i="18"/>
  <c r="Y3" i="18" l="1"/>
  <c r="N21" i="18"/>
  <c r="K21" i="18"/>
  <c r="AQ13" i="1"/>
  <c r="AH21" i="1"/>
  <c r="AH22" i="1"/>
  <c r="AH23" i="1"/>
  <c r="O167" i="20" l="1"/>
  <c r="O69" i="20"/>
  <c r="O55" i="20"/>
  <c r="O49" i="20"/>
  <c r="O58" i="20"/>
  <c r="O165" i="20"/>
  <c r="O67" i="20"/>
  <c r="O57" i="20"/>
  <c r="O50" i="20"/>
  <c r="O62" i="20"/>
  <c r="O64" i="20"/>
  <c r="O56" i="20"/>
  <c r="O169" i="20"/>
  <c r="O61" i="20"/>
  <c r="O164" i="20"/>
  <c r="O66" i="20"/>
  <c r="O51" i="20"/>
  <c r="O68" i="20"/>
  <c r="O168" i="20"/>
  <c r="O65" i="20"/>
  <c r="O53" i="20"/>
  <c r="O54" i="20"/>
  <c r="O60" i="20"/>
  <c r="O159" i="20"/>
  <c r="O166" i="20"/>
  <c r="O59" i="20"/>
  <c r="O52" i="20"/>
  <c r="M168" i="20"/>
  <c r="M169" i="20"/>
  <c r="M166" i="20"/>
  <c r="N166" i="20" s="1"/>
  <c r="M68" i="20"/>
  <c r="N68" i="20" s="1"/>
  <c r="M60" i="20"/>
  <c r="N60" i="20" s="1"/>
  <c r="M53" i="20"/>
  <c r="N53" i="20" s="1"/>
  <c r="M65" i="20"/>
  <c r="N65" i="20" s="1"/>
  <c r="M50" i="20"/>
  <c r="N50" i="20" s="1"/>
  <c r="M66" i="20"/>
  <c r="N66" i="20" s="1"/>
  <c r="M61" i="20"/>
  <c r="N61" i="20" s="1"/>
  <c r="M56" i="20"/>
  <c r="N56" i="20" s="1"/>
  <c r="M62" i="20"/>
  <c r="N62" i="20" s="1"/>
  <c r="M59" i="20"/>
  <c r="N59" i="20" s="1"/>
  <c r="M51" i="20"/>
  <c r="N51" i="20" s="1"/>
  <c r="M167" i="20"/>
  <c r="N167" i="20" s="1"/>
  <c r="M58" i="20"/>
  <c r="N58" i="20" s="1"/>
  <c r="M165" i="20"/>
  <c r="N165" i="20" s="1"/>
  <c r="M159" i="20"/>
  <c r="N159" i="20" s="1"/>
  <c r="M64" i="20"/>
  <c r="N64" i="20" s="1"/>
  <c r="M55" i="20"/>
  <c r="N55" i="20" s="1"/>
  <c r="M49" i="20"/>
  <c r="N49" i="20" s="1"/>
  <c r="M54" i="20"/>
  <c r="N54" i="20" s="1"/>
  <c r="M67" i="20"/>
  <c r="N67" i="20" s="1"/>
  <c r="M164" i="20"/>
  <c r="N164" i="20" s="1"/>
  <c r="M57" i="20"/>
  <c r="N57" i="20" s="1"/>
  <c r="M69" i="20"/>
  <c r="N69" i="20" s="1"/>
  <c r="M52" i="20"/>
  <c r="N52" i="20" s="1"/>
  <c r="I67" i="20"/>
  <c r="J67" i="20" s="1"/>
  <c r="I58" i="20"/>
  <c r="J58" i="20" s="1"/>
  <c r="I167" i="20"/>
  <c r="J167" i="20" s="1"/>
  <c r="I64" i="20"/>
  <c r="J64" i="20" s="1"/>
  <c r="I51" i="20"/>
  <c r="J51" i="20" s="1"/>
  <c r="I166" i="20"/>
  <c r="J166" i="20" s="1"/>
  <c r="I52" i="20"/>
  <c r="J52" i="20" s="1"/>
  <c r="I62" i="20"/>
  <c r="J62" i="20" s="1"/>
  <c r="I53" i="20"/>
  <c r="J53" i="20" s="1"/>
  <c r="I60" i="20"/>
  <c r="J60" i="20" s="1"/>
  <c r="I56" i="20"/>
  <c r="J56" i="20" s="1"/>
  <c r="I50" i="20"/>
  <c r="J50" i="20" s="1"/>
  <c r="I164" i="20"/>
  <c r="J164" i="20" s="1"/>
  <c r="I165" i="20"/>
  <c r="J165" i="20" s="1"/>
  <c r="I66" i="20"/>
  <c r="J66" i="20" s="1"/>
  <c r="I69" i="20"/>
  <c r="J69" i="20" s="1"/>
  <c r="I54" i="20"/>
  <c r="J54" i="20" s="1"/>
  <c r="I68" i="20"/>
  <c r="J68" i="20" s="1"/>
  <c r="I57" i="20"/>
  <c r="J57" i="20" s="1"/>
  <c r="I49" i="20"/>
  <c r="J49" i="20" s="1"/>
  <c r="I65" i="20"/>
  <c r="J65" i="20" s="1"/>
  <c r="I55" i="20"/>
  <c r="J55" i="20" s="1"/>
  <c r="I59" i="20"/>
  <c r="J59" i="20" s="1"/>
  <c r="I159" i="20"/>
  <c r="J159" i="20" s="1"/>
  <c r="I61" i="20"/>
  <c r="J61" i="20" s="1"/>
  <c r="K62" i="20"/>
  <c r="L62" i="20" s="1"/>
  <c r="K54" i="20"/>
  <c r="L54" i="20" s="1"/>
  <c r="K68" i="20"/>
  <c r="L68" i="20" s="1"/>
  <c r="K52" i="20"/>
  <c r="L52" i="20" s="1"/>
  <c r="K166" i="20"/>
  <c r="L166" i="20" s="1"/>
  <c r="K65" i="20"/>
  <c r="L65" i="20" s="1"/>
  <c r="K58" i="20"/>
  <c r="L58" i="20" s="1"/>
  <c r="K60" i="20"/>
  <c r="L60" i="20" s="1"/>
  <c r="K67" i="20"/>
  <c r="L67" i="20" s="1"/>
  <c r="K61" i="20"/>
  <c r="L61" i="20" s="1"/>
  <c r="K56" i="20"/>
  <c r="L56" i="20" s="1"/>
  <c r="K66" i="20"/>
  <c r="L66" i="20" s="1"/>
  <c r="K50" i="20"/>
  <c r="L50" i="20" s="1"/>
  <c r="K53" i="20"/>
  <c r="L53" i="20" s="1"/>
  <c r="K51" i="20"/>
  <c r="L51" i="20" s="1"/>
  <c r="K57" i="20"/>
  <c r="L57" i="20" s="1"/>
  <c r="K64" i="20"/>
  <c r="L64" i="20" s="1"/>
  <c r="K59" i="20"/>
  <c r="L59" i="20" s="1"/>
  <c r="K159" i="20"/>
  <c r="L159" i="20" s="1"/>
  <c r="K167" i="20"/>
  <c r="L167" i="20" s="1"/>
  <c r="K164" i="20"/>
  <c r="L164" i="20" s="1"/>
  <c r="K69" i="20"/>
  <c r="L69" i="20" s="1"/>
  <c r="K165" i="20"/>
  <c r="L165" i="20" s="1"/>
  <c r="K55" i="20"/>
  <c r="L55" i="20" s="1"/>
  <c r="K49" i="20"/>
  <c r="L49" i="20" s="1"/>
  <c r="AI23" i="1"/>
  <c r="AJ23" i="1"/>
  <c r="AI22" i="1"/>
  <c r="AJ22" i="1"/>
  <c r="AJ21" i="1"/>
  <c r="AI21" i="1"/>
  <c r="BB5" i="1"/>
  <c r="DZ5" i="1"/>
  <c r="EH5" i="1"/>
  <c r="BB6" i="1"/>
  <c r="DZ6" i="1"/>
  <c r="EH6" i="1"/>
  <c r="BB7" i="1"/>
  <c r="DZ7" i="1"/>
  <c r="EH7" i="1"/>
  <c r="BB8" i="1"/>
  <c r="DZ8" i="1"/>
  <c r="EH8" i="1"/>
  <c r="BB9" i="1"/>
  <c r="DZ9" i="1"/>
  <c r="EH9" i="1"/>
  <c r="BB10" i="1"/>
  <c r="DZ10" i="1"/>
  <c r="EH10" i="1"/>
  <c r="BB11" i="1"/>
  <c r="DZ11" i="1"/>
  <c r="EH11" i="1"/>
  <c r="BB12" i="1"/>
  <c r="DZ12" i="1"/>
  <c r="EH12" i="1"/>
  <c r="BB13" i="1"/>
  <c r="DZ13" i="1"/>
  <c r="EH13" i="1"/>
  <c r="BB14" i="1"/>
  <c r="DZ14" i="1"/>
  <c r="EH14" i="1"/>
  <c r="BB15" i="1"/>
  <c r="DZ15" i="1"/>
  <c r="EH15" i="1"/>
  <c r="BB16" i="1"/>
  <c r="DZ16" i="1"/>
  <c r="EH16" i="1"/>
  <c r="BB17" i="1"/>
  <c r="DZ17" i="1"/>
  <c r="EH17" i="1"/>
  <c r="BB18" i="1"/>
  <c r="DZ18" i="1"/>
  <c r="EH18" i="1"/>
  <c r="BB19" i="1"/>
  <c r="DZ19" i="1"/>
  <c r="EH19" i="1"/>
  <c r="BB20" i="1"/>
  <c r="DZ20" i="1"/>
  <c r="EH20" i="1"/>
  <c r="BB21" i="1"/>
  <c r="DZ21" i="1"/>
  <c r="EH21" i="1"/>
  <c r="BB22" i="1"/>
  <c r="DZ22" i="1"/>
  <c r="EH22" i="1"/>
  <c r="AQ23" i="1"/>
  <c r="AR23" i="1"/>
  <c r="AR25" i="1" s="1"/>
  <c r="BB23" i="1"/>
  <c r="DZ23" i="1"/>
  <c r="EH23" i="1"/>
  <c r="BB24" i="1"/>
  <c r="DZ24" i="1"/>
  <c r="EH24" i="1"/>
  <c r="BB25" i="1"/>
  <c r="DZ25" i="1"/>
  <c r="EH25" i="1"/>
  <c r="BB26" i="1"/>
  <c r="DZ26" i="1"/>
  <c r="EH26" i="1"/>
  <c r="BB27" i="1"/>
  <c r="DZ27" i="1"/>
  <c r="EH27" i="1"/>
  <c r="BB28" i="1"/>
  <c r="DZ28" i="1"/>
  <c r="EH28" i="1"/>
  <c r="BB29" i="1"/>
  <c r="DZ29" i="1"/>
  <c r="EH29" i="1"/>
  <c r="BB30" i="1"/>
  <c r="DZ30" i="1"/>
  <c r="EH30" i="1"/>
  <c r="BB31" i="1"/>
  <c r="DZ31" i="1"/>
  <c r="EH31" i="1"/>
  <c r="BB32" i="1"/>
  <c r="DZ32" i="1"/>
  <c r="EH32" i="1"/>
  <c r="BB33" i="1"/>
  <c r="DZ33" i="1"/>
  <c r="EH33" i="1"/>
  <c r="BB34" i="1"/>
  <c r="DZ34" i="1"/>
  <c r="EH34" i="1"/>
  <c r="BB35" i="1"/>
  <c r="DZ35" i="1"/>
  <c r="EH35" i="1"/>
  <c r="BB36" i="1"/>
  <c r="DZ36" i="1"/>
  <c r="EH36" i="1"/>
  <c r="BB37" i="1"/>
  <c r="DZ37" i="1"/>
  <c r="EH37" i="1"/>
  <c r="BB38" i="1"/>
  <c r="DZ38" i="1"/>
  <c r="EH38" i="1"/>
  <c r="BB39" i="1"/>
  <c r="DZ39" i="1"/>
  <c r="EH39" i="1"/>
  <c r="BB40" i="1"/>
  <c r="DZ40" i="1"/>
  <c r="EH40" i="1"/>
  <c r="AR41" i="1"/>
  <c r="BB41" i="1"/>
  <c r="DZ41" i="1"/>
  <c r="EH41" i="1"/>
  <c r="BB42" i="1"/>
  <c r="DZ42" i="1"/>
  <c r="EH42" i="1"/>
  <c r="BB43" i="1"/>
  <c r="DZ43" i="1"/>
  <c r="EH43" i="1"/>
  <c r="BB44" i="1"/>
  <c r="DZ44" i="1"/>
  <c r="EH44" i="1"/>
  <c r="BB45" i="1"/>
  <c r="DZ45" i="1"/>
  <c r="EH45" i="1"/>
  <c r="BB46" i="1"/>
  <c r="DZ46" i="1"/>
  <c r="EH46" i="1"/>
  <c r="BB47" i="1"/>
  <c r="DZ47" i="1"/>
  <c r="EH47" i="1"/>
  <c r="BB48" i="1"/>
  <c r="DZ48" i="1"/>
  <c r="EH48" i="1"/>
  <c r="BB49" i="1"/>
  <c r="DZ49" i="1"/>
  <c r="EH49" i="1"/>
  <c r="BB50" i="1"/>
  <c r="DZ50" i="1"/>
  <c r="EH50" i="1"/>
  <c r="BB51" i="1"/>
  <c r="DZ51" i="1"/>
  <c r="EH51" i="1"/>
  <c r="BB52" i="1"/>
  <c r="DZ52" i="1"/>
  <c r="EH52" i="1"/>
  <c r="BB53" i="1"/>
  <c r="BB54" i="1"/>
  <c r="BB55" i="1"/>
  <c r="BB56" i="1"/>
  <c r="BB57" i="1"/>
  <c r="BB58" i="1"/>
  <c r="O21" i="1" l="1"/>
  <c r="K21" i="1"/>
  <c r="O22" i="1"/>
  <c r="K22" i="1"/>
  <c r="O23" i="1"/>
  <c r="K23" i="1"/>
  <c r="O6" i="18"/>
  <c r="L7" i="18"/>
  <c r="K37" i="18"/>
  <c r="K36" i="18"/>
  <c r="K45" i="18"/>
  <c r="K46" i="18"/>
  <c r="K32" i="1"/>
  <c r="L8" i="18"/>
  <c r="L9" i="18"/>
  <c r="AQ1" i="1"/>
  <c r="L13" i="18"/>
  <c r="L14" i="18"/>
  <c r="L11" i="18"/>
  <c r="L12" i="18"/>
  <c r="K38" i="18"/>
  <c r="K47" i="18"/>
  <c r="AP22" i="18"/>
  <c r="AP18" i="18"/>
  <c r="BA11" i="18"/>
  <c r="AB5" i="18"/>
  <c r="AC5" i="18"/>
  <c r="BA24" i="18"/>
  <c r="AP23" i="18"/>
  <c r="BA20" i="18"/>
  <c r="AP19" i="18"/>
  <c r="BA16" i="18"/>
  <c r="AP15" i="18"/>
  <c r="BA12" i="18"/>
  <c r="AP11" i="18"/>
  <c r="AZ8" i="18"/>
  <c r="BA8" i="18"/>
  <c r="AO7" i="18"/>
  <c r="AP7" i="18"/>
  <c r="BA4" i="18"/>
  <c r="BA23" i="18"/>
  <c r="BA15" i="18"/>
  <c r="AO10" i="18"/>
  <c r="AP10" i="18"/>
  <c r="AO6" i="18"/>
  <c r="AP6" i="18"/>
  <c r="AP24" i="18"/>
  <c r="BA21" i="18"/>
  <c r="AP20" i="18"/>
  <c r="BA17" i="18"/>
  <c r="AP16" i="18"/>
  <c r="BA13" i="18"/>
  <c r="AP12" i="18"/>
  <c r="AZ9" i="18"/>
  <c r="BA9" i="18"/>
  <c r="AO8" i="18"/>
  <c r="AP8" i="18"/>
  <c r="BA5" i="18"/>
  <c r="AP4" i="18"/>
  <c r="BA19" i="18"/>
  <c r="AP14" i="18"/>
  <c r="AZ7" i="18"/>
  <c r="BA7" i="18"/>
  <c r="BA22" i="18"/>
  <c r="AP21" i="18"/>
  <c r="BA18" i="18"/>
  <c r="AP17" i="18"/>
  <c r="BA14" i="18"/>
  <c r="AP13" i="18"/>
  <c r="AZ10" i="18"/>
  <c r="BA10" i="18"/>
  <c r="AO9" i="18"/>
  <c r="AP9" i="18"/>
  <c r="AZ6" i="18"/>
  <c r="BA6" i="18"/>
  <c r="AO5" i="18"/>
  <c r="AP5" i="18"/>
  <c r="AC4" i="18"/>
  <c r="N32" i="1" l="1"/>
  <c r="P62" i="1" s="1"/>
  <c r="L4" i="18"/>
  <c r="R32" i="1"/>
  <c r="U62" i="1" s="1"/>
  <c r="O4" i="18"/>
  <c r="M19" i="1" a="1"/>
  <c r="M19" i="1" s="1"/>
  <c r="V12" i="18"/>
  <c r="V13" i="18"/>
  <c r="AE19" i="1"/>
  <c r="O8" i="18"/>
  <c r="O7" i="18"/>
  <c r="N45" i="18"/>
  <c r="N70" i="1"/>
  <c r="O9" i="18"/>
  <c r="M25" i="1"/>
  <c r="N69" i="1"/>
  <c r="N66" i="1"/>
  <c r="N67" i="1"/>
  <c r="N68" i="1"/>
  <c r="O11" i="18"/>
  <c r="O14" i="18"/>
  <c r="O10" i="18"/>
  <c r="O13" i="18"/>
  <c r="O12" i="18"/>
  <c r="N64" i="1"/>
  <c r="N65" i="1"/>
  <c r="L15" i="18"/>
  <c r="M24" i="1"/>
  <c r="M23" i="1"/>
  <c r="M22" i="1"/>
  <c r="M21" i="1"/>
  <c r="M20" i="1"/>
  <c r="K48" i="18"/>
  <c r="N38" i="18"/>
  <c r="N47" i="18"/>
  <c r="N37" i="18"/>
  <c r="N46" i="18"/>
  <c r="N36" i="18"/>
  <c r="AY18" i="18"/>
  <c r="AZ18" i="18"/>
  <c r="AN21" i="18"/>
  <c r="AO21" i="18"/>
  <c r="AN14" i="18"/>
  <c r="AO14" i="18"/>
  <c r="AZ5" i="18"/>
  <c r="AY13" i="18"/>
  <c r="AZ13" i="18"/>
  <c r="AN16" i="18"/>
  <c r="AO16" i="18"/>
  <c r="AY21" i="18"/>
  <c r="AZ21" i="18"/>
  <c r="AN24" i="18"/>
  <c r="AO24" i="18"/>
  <c r="AY15" i="18"/>
  <c r="AZ15" i="18"/>
  <c r="AY23" i="18"/>
  <c r="AZ23" i="18"/>
  <c r="AY4" i="18"/>
  <c r="AZ4" i="18"/>
  <c r="AY12" i="18"/>
  <c r="AZ12" i="18"/>
  <c r="AN15" i="18"/>
  <c r="AO15" i="18"/>
  <c r="AY20" i="18"/>
  <c r="AZ20" i="18"/>
  <c r="AN23" i="18"/>
  <c r="AO23" i="18"/>
  <c r="AY11" i="18"/>
  <c r="AZ11" i="18"/>
  <c r="AN18" i="18"/>
  <c r="AO18" i="18"/>
  <c r="AN13" i="18"/>
  <c r="AO13" i="18"/>
  <c r="AB4" i="18"/>
  <c r="AY14" i="18"/>
  <c r="AZ14" i="18"/>
  <c r="AN17" i="18"/>
  <c r="AO17" i="18"/>
  <c r="AY22" i="18"/>
  <c r="AZ22" i="18"/>
  <c r="AY19" i="18"/>
  <c r="AZ19" i="18"/>
  <c r="AO4" i="18"/>
  <c r="AN12" i="18"/>
  <c r="AO12" i="18"/>
  <c r="AY17" i="18"/>
  <c r="AZ17" i="18"/>
  <c r="AN20" i="18"/>
  <c r="AO20" i="18"/>
  <c r="AN11" i="18"/>
  <c r="AO11" i="18"/>
  <c r="AY16" i="18"/>
  <c r="AZ16" i="18"/>
  <c r="AN19" i="18"/>
  <c r="AO19" i="18"/>
  <c r="AY24" i="18"/>
  <c r="AZ24" i="18"/>
  <c r="AN22" i="18"/>
  <c r="AO22" i="18"/>
  <c r="AR26" i="1"/>
  <c r="N43" i="18" l="1"/>
  <c r="N19" i="18"/>
  <c r="N34" i="18"/>
  <c r="K43" i="18"/>
  <c r="K19" i="18"/>
  <c r="K34" i="18"/>
  <c r="U6" i="18"/>
  <c r="V14" i="18"/>
  <c r="U12" i="18"/>
  <c r="U7" i="18"/>
  <c r="U9" i="18"/>
  <c r="U14" i="18"/>
  <c r="U13" i="18"/>
  <c r="U8" i="18"/>
  <c r="N19" i="1"/>
  <c r="U10" i="18"/>
  <c r="U11" i="18"/>
  <c r="AN19" i="1"/>
  <c r="V7" i="18"/>
  <c r="V9" i="18"/>
  <c r="AN20" i="1"/>
  <c r="AN24" i="1"/>
  <c r="S70" i="1"/>
  <c r="AE24" i="1"/>
  <c r="AE25" i="1"/>
  <c r="Q19" i="1"/>
  <c r="AF25" i="1"/>
  <c r="AF24" i="1"/>
  <c r="Q25" i="1"/>
  <c r="S65" i="1"/>
  <c r="S69" i="1"/>
  <c r="S66" i="1"/>
  <c r="S68" i="1"/>
  <c r="S67" i="1"/>
  <c r="Q24" i="1"/>
  <c r="Q23" i="1"/>
  <c r="Q22" i="1"/>
  <c r="Q21" i="1"/>
  <c r="N48" i="18"/>
  <c r="S64" i="1"/>
  <c r="Q20" i="1"/>
  <c r="AY5" i="18"/>
  <c r="AN4" i="18"/>
  <c r="AN5" i="18"/>
  <c r="AA4" i="18"/>
  <c r="B12" i="20"/>
  <c r="B9" i="20"/>
  <c r="B38" i="20"/>
  <c r="B35" i="20"/>
  <c r="B45" i="20"/>
  <c r="B42" i="20"/>
  <c r="B49" i="20"/>
  <c r="B51" i="20"/>
  <c r="B53" i="20"/>
  <c r="B57" i="20"/>
  <c r="B55" i="20"/>
  <c r="B59" i="20"/>
  <c r="B60" i="20"/>
  <c r="B61" i="20"/>
  <c r="B64" i="20"/>
  <c r="B68" i="20"/>
  <c r="B66" i="20"/>
  <c r="B73" i="20"/>
  <c r="B70" i="20"/>
  <c r="B79" i="20"/>
  <c r="B76" i="20"/>
  <c r="B85" i="20"/>
  <c r="B82" i="20"/>
  <c r="B91" i="20"/>
  <c r="B88" i="20"/>
  <c r="B97" i="20"/>
  <c r="B94" i="20"/>
  <c r="B100" i="20"/>
  <c r="B103" i="20"/>
  <c r="B112" i="20"/>
  <c r="B117" i="20"/>
  <c r="B115" i="20"/>
  <c r="B126" i="20"/>
  <c r="B123" i="20"/>
  <c r="B132" i="20"/>
  <c r="B129" i="20"/>
  <c r="B136" i="20"/>
  <c r="B135" i="20"/>
  <c r="B107" i="20"/>
  <c r="B106" i="20"/>
  <c r="B141" i="20"/>
  <c r="B138" i="20"/>
  <c r="B147" i="20"/>
  <c r="B144" i="20"/>
  <c r="B153" i="20"/>
  <c r="B150" i="20"/>
  <c r="B159" i="20"/>
  <c r="B157" i="20"/>
  <c r="B158" i="20"/>
  <c r="B161" i="20"/>
  <c r="B166" i="20"/>
  <c r="B164" i="20"/>
  <c r="B171" i="20"/>
  <c r="B170" i="20"/>
  <c r="B175" i="20"/>
  <c r="B172" i="20"/>
  <c r="B36" i="20"/>
  <c r="B43" i="20"/>
  <c r="B56" i="20"/>
  <c r="B67" i="20"/>
  <c r="B71" i="20"/>
  <c r="B77" i="20"/>
  <c r="B83" i="20"/>
  <c r="B89" i="20"/>
  <c r="B95" i="20"/>
  <c r="B104" i="20"/>
  <c r="B113" i="20"/>
  <c r="B116" i="20"/>
  <c r="B124" i="20"/>
  <c r="B130" i="20"/>
  <c r="B139" i="20"/>
  <c r="B145" i="20"/>
  <c r="B151" i="20"/>
  <c r="B162" i="20"/>
  <c r="B165" i="20"/>
  <c r="B173" i="20"/>
  <c r="B179" i="20"/>
  <c r="B13" i="20"/>
  <c r="B20" i="20"/>
  <c r="B39" i="20"/>
  <c r="B46" i="20"/>
  <c r="B50" i="20"/>
  <c r="B52" i="20"/>
  <c r="B54" i="20"/>
  <c r="B58" i="20"/>
  <c r="B65" i="20"/>
  <c r="B69" i="20"/>
  <c r="B74" i="20"/>
  <c r="B80" i="20"/>
  <c r="B86" i="20"/>
  <c r="B92" i="20"/>
  <c r="B98" i="20"/>
  <c r="B108" i="20"/>
  <c r="B118" i="20"/>
  <c r="B127" i="20"/>
  <c r="B133" i="20"/>
  <c r="B142" i="20"/>
  <c r="B148" i="20"/>
  <c r="B154" i="20"/>
  <c r="B167" i="20"/>
  <c r="B176" i="20"/>
  <c r="B182" i="20"/>
  <c r="B11" i="20"/>
  <c r="B18" i="20"/>
  <c r="B31" i="20"/>
  <c r="B37" i="20"/>
  <c r="B44" i="20"/>
  <c r="B72" i="20"/>
  <c r="B78" i="20"/>
  <c r="B84" i="20"/>
  <c r="B90" i="20"/>
  <c r="B96" i="20"/>
  <c r="B105" i="20"/>
  <c r="B125" i="20"/>
  <c r="B131" i="20"/>
  <c r="B140" i="20"/>
  <c r="B146" i="20"/>
  <c r="B152" i="20"/>
  <c r="B163" i="20"/>
  <c r="B174" i="20"/>
  <c r="B180" i="20"/>
  <c r="B14" i="20"/>
  <c r="B40" i="20"/>
  <c r="B47" i="20"/>
  <c r="B75" i="20"/>
  <c r="B81" i="20"/>
  <c r="B87" i="20"/>
  <c r="B93" i="20"/>
  <c r="B99" i="20"/>
  <c r="B128" i="20"/>
  <c r="B134" i="20"/>
  <c r="B143" i="20"/>
  <c r="B149" i="20"/>
  <c r="B155" i="20"/>
  <c r="B177" i="20"/>
  <c r="B183" i="20"/>
  <c r="V6" i="18" l="1"/>
  <c r="V8" i="18"/>
  <c r="V10" i="18"/>
  <c r="V11" i="18"/>
  <c r="AN22" i="1"/>
  <c r="AN25" i="1"/>
  <c r="AN21" i="1"/>
  <c r="AN23" i="1"/>
  <c r="AO23" i="1"/>
  <c r="AO25" i="1"/>
  <c r="AO20" i="1"/>
  <c r="AO22" i="1"/>
  <c r="AO19" i="1"/>
  <c r="AO21" i="1"/>
  <c r="AO24" i="1"/>
  <c r="AY6" i="18"/>
  <c r="AN6" i="18"/>
  <c r="AA5" i="18"/>
  <c r="J32" i="18"/>
  <c r="H32" i="18"/>
  <c r="K39" i="18" l="1"/>
  <c r="AY7" i="18"/>
  <c r="AN7" i="18" l="1"/>
  <c r="AY10" i="18" l="1"/>
  <c r="AY8" i="18"/>
  <c r="AN8" i="18"/>
  <c r="K30" i="18"/>
  <c r="N30" i="18"/>
  <c r="BB4" i="18" l="1"/>
  <c r="AQ5" i="18"/>
  <c r="BB6" i="18"/>
  <c r="AY9" i="18"/>
  <c r="BB7" i="18"/>
  <c r="BB8" i="18"/>
  <c r="BB5" i="18"/>
  <c r="AN9" i="18"/>
  <c r="BB9" i="18"/>
  <c r="BB16" i="18"/>
  <c r="BB17" i="18"/>
  <c r="BB10" i="18"/>
  <c r="BB13" i="18"/>
  <c r="BB20" i="18"/>
  <c r="BB24" i="18"/>
  <c r="BB18" i="18"/>
  <c r="BB22" i="18"/>
  <c r="BB21" i="18"/>
  <c r="BB23" i="18"/>
  <c r="BB11" i="18"/>
  <c r="BB12" i="18"/>
  <c r="BB15" i="18"/>
  <c r="BB19" i="18"/>
  <c r="BB14" i="18"/>
  <c r="H2" i="18"/>
  <c r="J2" i="18"/>
  <c r="AQ8" i="18" l="1"/>
  <c r="AQ7" i="18"/>
  <c r="AQ17" i="18"/>
  <c r="AQ16" i="18"/>
  <c r="AQ14" i="18"/>
  <c r="AQ13" i="18"/>
  <c r="AQ10" i="18"/>
  <c r="AQ12" i="18"/>
  <c r="AQ15" i="18"/>
  <c r="AN10" i="18"/>
  <c r="AQ4" i="18"/>
  <c r="AQ6" i="18"/>
  <c r="AQ9" i="18"/>
  <c r="AQ11" i="18"/>
  <c r="N39" i="18"/>
  <c r="AF19" i="1" l="1"/>
  <c r="AE20" i="1"/>
  <c r="B10" i="20"/>
  <c r="I36" i="1" s="1"/>
  <c r="I34" i="1" l="1"/>
  <c r="I35" i="1"/>
  <c r="J69" i="1"/>
  <c r="J70" i="1"/>
  <c r="K64" i="1"/>
  <c r="L64" i="1" s="1"/>
  <c r="J64" i="1"/>
  <c r="R25" i="1"/>
  <c r="R19" i="1"/>
  <c r="AM25" i="1"/>
  <c r="AM24" i="1"/>
  <c r="J22" i="1"/>
  <c r="AF38" i="1"/>
  <c r="J67" i="1"/>
  <c r="J65" i="1"/>
  <c r="J66" i="1"/>
  <c r="J23" i="1"/>
  <c r="J25" i="1"/>
  <c r="J24" i="1"/>
  <c r="AF47" i="1"/>
  <c r="AF51" i="1"/>
  <c r="AF55" i="1"/>
  <c r="AF59" i="1"/>
  <c r="AF52" i="1"/>
  <c r="AF54" i="1"/>
  <c r="AF48" i="1"/>
  <c r="AF56" i="1"/>
  <c r="AF57" i="1"/>
  <c r="AF50" i="1"/>
  <c r="AF45" i="1"/>
  <c r="AF49" i="1"/>
  <c r="AF53" i="1"/>
  <c r="AF46" i="1"/>
  <c r="AF58" i="1"/>
  <c r="AM23" i="1"/>
  <c r="AM22" i="1"/>
  <c r="K65" i="1"/>
  <c r="K66" i="1"/>
  <c r="AM21" i="1"/>
  <c r="AM19" i="1"/>
  <c r="AK19" i="1" s="1"/>
  <c r="AM20" i="1"/>
  <c r="K69" i="1"/>
  <c r="K70" i="1"/>
  <c r="K67" i="1"/>
  <c r="K68" i="1"/>
  <c r="L66" i="1" l="1"/>
  <c r="Q66" i="1"/>
  <c r="Q64" i="1"/>
  <c r="O64" i="1"/>
  <c r="L65" i="1"/>
  <c r="Q65" i="1"/>
  <c r="T65" i="1" s="1"/>
  <c r="L68" i="1"/>
  <c r="O68" i="1" s="1"/>
  <c r="Q68" i="1"/>
  <c r="T68" i="1" s="1"/>
  <c r="L67" i="1"/>
  <c r="Q67" i="1"/>
  <c r="L70" i="1"/>
  <c r="Q70" i="1"/>
  <c r="T70" i="1" s="1"/>
  <c r="L69" i="1"/>
  <c r="Q69" i="1"/>
  <c r="T69" i="1" s="1"/>
  <c r="J34" i="1"/>
  <c r="K34" i="1" s="1"/>
  <c r="J36" i="1"/>
  <c r="K36" i="1" s="1"/>
  <c r="AL19" i="1"/>
  <c r="AF64" i="1"/>
  <c r="J46" i="1"/>
  <c r="J56" i="1"/>
  <c r="J35" i="1"/>
  <c r="K35" i="1" s="1"/>
  <c r="J42" i="1"/>
  <c r="J40" i="1"/>
  <c r="J49" i="1"/>
  <c r="J48" i="1"/>
  <c r="J55" i="1"/>
  <c r="J45" i="1"/>
  <c r="J44" i="1"/>
  <c r="J51" i="1"/>
  <c r="J38" i="1"/>
  <c r="J47" i="1"/>
  <c r="J54" i="1"/>
  <c r="J43" i="1"/>
  <c r="J41" i="1"/>
  <c r="J52" i="1"/>
  <c r="J53" i="1"/>
  <c r="J50" i="1"/>
  <c r="J39" i="1"/>
  <c r="K39" i="1" s="1"/>
  <c r="J37" i="1"/>
  <c r="J57" i="1"/>
  <c r="J59" i="1"/>
  <c r="J58" i="1"/>
  <c r="K58" i="1" s="1"/>
  <c r="AH69" i="1"/>
  <c r="AH68" i="1"/>
  <c r="AH66" i="1"/>
  <c r="AH67" i="1"/>
  <c r="AH65" i="1"/>
  <c r="AH64" i="1"/>
  <c r="AE64" i="1"/>
  <c r="AE70" i="1"/>
  <c r="AH70" i="1"/>
  <c r="AK24" i="1"/>
  <c r="AL24" i="1"/>
  <c r="AK25" i="1"/>
  <c r="AL25" i="1"/>
  <c r="AE67" i="1"/>
  <c r="AE68" i="1"/>
  <c r="AE66" i="1"/>
  <c r="N25" i="1"/>
  <c r="AE69" i="1"/>
  <c r="N22" i="1"/>
  <c r="AE65" i="1"/>
  <c r="N21" i="1"/>
  <c r="N20" i="1"/>
  <c r="N24" i="1"/>
  <c r="N23" i="1"/>
  <c r="AL23" i="1"/>
  <c r="AK23" i="1"/>
  <c r="AK22" i="1"/>
  <c r="AL22" i="1"/>
  <c r="AL20" i="1"/>
  <c r="AK20" i="1"/>
  <c r="AG64" i="1"/>
  <c r="AF66" i="1"/>
  <c r="AF70" i="1"/>
  <c r="AG68" i="1"/>
  <c r="AF65" i="1"/>
  <c r="AF67" i="1"/>
  <c r="AG65" i="1"/>
  <c r="AG69" i="1"/>
  <c r="AF69" i="1"/>
  <c r="AF68" i="1"/>
  <c r="AG66" i="1"/>
  <c r="AG70" i="1"/>
  <c r="AG67" i="1"/>
  <c r="AK21" i="1"/>
  <c r="AL21" i="1"/>
  <c r="O32" i="1"/>
  <c r="O34" i="1" s="1"/>
  <c r="AF22" i="1"/>
  <c r="AF20" i="1"/>
  <c r="AF23" i="1"/>
  <c r="AF21" i="1"/>
  <c r="AE22" i="1"/>
  <c r="AE23" i="1"/>
  <c r="AE21" i="1"/>
  <c r="AE34" i="1" l="1"/>
  <c r="AE51" i="1"/>
  <c r="K51" i="1"/>
  <c r="AE53" i="1"/>
  <c r="K53" i="1"/>
  <c r="M53" i="1" s="1"/>
  <c r="AE44" i="1"/>
  <c r="K44" i="1"/>
  <c r="AE56" i="1"/>
  <c r="K56" i="1"/>
  <c r="M56" i="1" s="1"/>
  <c r="AE52" i="1"/>
  <c r="K52" i="1"/>
  <c r="AE45" i="1"/>
  <c r="K45" i="1"/>
  <c r="AE46" i="1"/>
  <c r="K46" i="1"/>
  <c r="AE41" i="1"/>
  <c r="K41" i="1"/>
  <c r="AE55" i="1"/>
  <c r="K55" i="1"/>
  <c r="M55" i="1" s="1"/>
  <c r="AE50" i="1"/>
  <c r="K50" i="1"/>
  <c r="O53" i="1"/>
  <c r="Q53" i="1" s="1"/>
  <c r="O46" i="1"/>
  <c r="O49" i="1"/>
  <c r="O47" i="1"/>
  <c r="O58" i="1"/>
  <c r="O43" i="1"/>
  <c r="O39" i="1"/>
  <c r="O38" i="1"/>
  <c r="O45" i="1"/>
  <c r="O56" i="1"/>
  <c r="Q56" i="1" s="1"/>
  <c r="O42" i="1"/>
  <c r="O55" i="1"/>
  <c r="Q55" i="1" s="1"/>
  <c r="O41" i="1"/>
  <c r="O54" i="1"/>
  <c r="Q54" i="1" s="1"/>
  <c r="O48" i="1"/>
  <c r="O57" i="1"/>
  <c r="Q57" i="1" s="1"/>
  <c r="O40" i="1"/>
  <c r="O51" i="1"/>
  <c r="Q51" i="1" s="1"/>
  <c r="O59" i="1"/>
  <c r="Q59" i="1" s="1"/>
  <c r="O52" i="1"/>
  <c r="O44" i="1"/>
  <c r="O37" i="1"/>
  <c r="O50" i="1"/>
  <c r="O36" i="1"/>
  <c r="Q36" i="1" s="1"/>
  <c r="AE59" i="1"/>
  <c r="K59" i="1"/>
  <c r="M59" i="1" s="1"/>
  <c r="AE43" i="1"/>
  <c r="K43" i="1"/>
  <c r="AE48" i="1"/>
  <c r="K48" i="1"/>
  <c r="AE54" i="1"/>
  <c r="K54" i="1"/>
  <c r="M54" i="1" s="1"/>
  <c r="AE49" i="1"/>
  <c r="K49" i="1"/>
  <c r="AE37" i="1"/>
  <c r="K37" i="1"/>
  <c r="AE47" i="1"/>
  <c r="K47" i="1"/>
  <c r="AE40" i="1"/>
  <c r="K40" i="1"/>
  <c r="AE57" i="1"/>
  <c r="K57" i="1"/>
  <c r="M57" i="1" s="1"/>
  <c r="AE39" i="1"/>
  <c r="AE38" i="1"/>
  <c r="K38" i="1"/>
  <c r="AE42" i="1"/>
  <c r="K42" i="1"/>
  <c r="O35" i="1"/>
  <c r="Q58" i="1"/>
  <c r="M58" i="1"/>
  <c r="M34" i="1"/>
  <c r="AE36" i="1"/>
  <c r="AE35" i="1"/>
  <c r="AE58" i="1"/>
  <c r="O67" i="1"/>
  <c r="L62" i="1"/>
  <c r="Q62" i="1"/>
  <c r="Q34" i="1" l="1"/>
  <c r="Q40" i="1"/>
  <c r="Q39" i="1"/>
  <c r="Q35" i="1"/>
  <c r="Q52" i="1"/>
  <c r="Q50" i="1"/>
  <c r="Q49" i="1"/>
  <c r="Q48" i="1"/>
  <c r="Q47" i="1"/>
  <c r="Q46" i="1"/>
  <c r="Q45" i="1"/>
  <c r="Q44" i="1"/>
  <c r="Q43" i="1"/>
  <c r="Q42" i="1"/>
  <c r="Q41" i="1"/>
  <c r="Q38" i="1"/>
  <c r="Q37" i="1"/>
  <c r="M35" i="1"/>
  <c r="M46" i="1"/>
  <c r="M51" i="1"/>
  <c r="M50" i="1"/>
  <c r="M52" i="1"/>
  <c r="M49" i="1"/>
  <c r="M45" i="1"/>
  <c r="M48" i="1"/>
  <c r="M41" i="1"/>
  <c r="M37" i="1"/>
  <c r="M38" i="1"/>
  <c r="M39" i="1"/>
  <c r="M36" i="1"/>
  <c r="M40" i="1"/>
  <c r="M43" i="1"/>
  <c r="M42" i="1"/>
  <c r="M47" i="1"/>
  <c r="M44" i="1"/>
  <c r="R60" i="1" l="1"/>
  <c r="O70" i="1" l="1"/>
  <c r="O66" i="1"/>
  <c r="O69" i="1"/>
  <c r="O65" i="1"/>
  <c r="T67" i="1"/>
  <c r="T66" i="1" l="1"/>
  <c r="T64" i="1"/>
  <c r="P71" i="1"/>
  <c r="R24" i="1"/>
  <c r="R23" i="1"/>
  <c r="U71" i="1" l="1"/>
  <c r="R22" i="1"/>
  <c r="R21" i="1"/>
  <c r="R20" i="1"/>
  <c r="A70" i="1" l="1"/>
  <c r="A69" i="1"/>
  <c r="AQ20" i="18" l="1"/>
  <c r="AD4" i="18" l="1"/>
  <c r="AD5" i="18"/>
  <c r="N60" i="1"/>
  <c r="AQ24" i="18" l="1"/>
  <c r="AQ22" i="18"/>
  <c r="AQ23" i="18"/>
  <c r="AQ19" i="18"/>
  <c r="AQ21" i="18"/>
  <c r="AQ18" i="18"/>
  <c r="N26" i="1" l="1"/>
  <c r="O15" i="18" l="1"/>
  <c r="R26" i="1"/>
  <c r="A59" i="1" l="1"/>
  <c r="A58" i="1"/>
  <c r="A68" i="1"/>
  <c r="A67" i="1"/>
  <c r="AE30" i="1" l="1"/>
  <c r="AQ14" i="1" s="1"/>
  <c r="AQ15" i="1" l="1"/>
  <c r="AQ12" i="1"/>
  <c r="M131" i="20" s="1"/>
  <c r="N131" i="20" s="1"/>
  <c r="B30" i="1"/>
  <c r="O134" i="20" l="1"/>
  <c r="O131" i="20"/>
  <c r="I133" i="20"/>
  <c r="M132" i="20"/>
  <c r="N132" i="20" s="1"/>
  <c r="M134" i="20"/>
  <c r="N134" i="20" s="1"/>
  <c r="M129" i="20"/>
  <c r="N129" i="20" s="1"/>
  <c r="O130" i="20"/>
  <c r="M133" i="20"/>
  <c r="N133" i="20" s="1"/>
  <c r="O132" i="20"/>
  <c r="K130" i="20"/>
  <c r="L130" i="20" s="1"/>
  <c r="O129" i="20"/>
  <c r="I132" i="20"/>
  <c r="O133" i="20"/>
  <c r="M130" i="20"/>
  <c r="N130" i="20" s="1"/>
  <c r="K129" i="20"/>
  <c r="L129" i="20" s="1"/>
  <c r="K134" i="20"/>
  <c r="L134" i="20" s="1"/>
  <c r="K132" i="20"/>
  <c r="K133" i="20"/>
  <c r="L133" i="20" s="1"/>
  <c r="K131" i="20"/>
  <c r="L131" i="20" s="1"/>
  <c r="I130" i="20"/>
  <c r="J130" i="20" s="1"/>
  <c r="I134" i="20"/>
  <c r="J134" i="20" s="1"/>
  <c r="J133" i="20"/>
  <c r="I129" i="20"/>
  <c r="J129" i="20" s="1"/>
  <c r="I131" i="20"/>
  <c r="J131" i="20" s="1"/>
  <c r="A48" i="1"/>
  <c r="A54" i="1"/>
  <c r="A51" i="1"/>
  <c r="A46" i="1"/>
  <c r="A50" i="1"/>
  <c r="A57" i="1"/>
  <c r="A43" i="1"/>
  <c r="A52" i="1"/>
  <c r="A45" i="1"/>
  <c r="A56" i="1"/>
  <c r="A53" i="1"/>
  <c r="A49" i="1"/>
  <c r="A55" i="1"/>
  <c r="A47" i="1"/>
  <c r="A44" i="1"/>
  <c r="A41" i="1"/>
  <c r="A40" i="1"/>
  <c r="A42" i="1"/>
  <c r="A39" i="1"/>
  <c r="A38" i="1"/>
  <c r="A66" i="1"/>
  <c r="A65" i="1"/>
  <c r="A37" i="1"/>
  <c r="A34" i="1"/>
  <c r="A36" i="1"/>
  <c r="A35" i="1"/>
  <c r="A30" i="1"/>
  <c r="A64" i="1"/>
  <c r="L132" i="20" l="1"/>
  <c r="J132" i="20"/>
  <c r="N6" i="1" l="1"/>
  <c r="AF42" i="1" l="1"/>
  <c r="AF39" i="1"/>
  <c r="AF40" i="1" l="1"/>
  <c r="AF43" i="1"/>
  <c r="AF44" i="1"/>
  <c r="AF41" i="1"/>
  <c r="AF37" i="1"/>
  <c r="AF36" i="1"/>
  <c r="AF35" i="1"/>
  <c r="AF34" i="1"/>
  <c r="BH4" i="18"/>
  <c r="BH5" i="18" l="1"/>
  <c r="BH6" i="18" l="1"/>
  <c r="BK7" i="18" s="1"/>
  <c r="BK4" i="18"/>
  <c r="BK8" i="18"/>
  <c r="BK16" i="18"/>
  <c r="BK15" i="18"/>
  <c r="BK22" i="18"/>
  <c r="BK6" i="18"/>
  <c r="BK24" i="18"/>
  <c r="BK14" i="18"/>
  <c r="BK5" i="18"/>
  <c r="BK10" i="18"/>
  <c r="BK13" i="18"/>
  <c r="BK18" i="18"/>
  <c r="BK23" i="18"/>
  <c r="BK19" i="18"/>
  <c r="BK11" i="18" l="1"/>
  <c r="BK9" i="18"/>
  <c r="BK12" i="18"/>
  <c r="BK21" i="18"/>
  <c r="BK17" i="18"/>
  <c r="BK20" i="18"/>
  <c r="O6" i="1"/>
  <c r="P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EL2" authorId="0" shapeId="0" xr:uid="{94BC5589-A8BE-4759-8296-CD6D47AC255B}">
      <text>
        <r>
          <rPr>
            <b/>
            <sz val="9"/>
            <color indexed="81"/>
            <rFont val="Tahoma"/>
            <family val="2"/>
          </rPr>
          <t>Not seemingly used...</t>
        </r>
      </text>
    </comment>
    <comment ref="ED4" authorId="0" shapeId="0" xr:uid="{A783494E-A800-4D5F-AF0F-282534B2F39F}">
      <text>
        <r>
          <rPr>
            <b/>
            <sz val="9"/>
            <color indexed="81"/>
            <rFont val="Tahoma"/>
            <family val="2"/>
          </rPr>
          <t>Note</t>
        </r>
        <r>
          <rPr>
            <sz val="9"/>
            <color indexed="81"/>
            <rFont val="Tahoma"/>
            <family val="2"/>
          </rPr>
          <t>, confirm this is a FY22 rate, as it seems to be…yes, confirmed by DR.</t>
        </r>
      </text>
    </comment>
    <comment ref="EE4" authorId="0" shapeId="0" xr:uid="{E9FA8D68-7C1F-4627-B659-CB364C0D72D6}">
      <text>
        <r>
          <rPr>
            <b/>
            <sz val="9"/>
            <color indexed="81"/>
            <rFont val="Tahoma"/>
            <family val="2"/>
          </rPr>
          <t>Source: ''FY23_PCI2_Rates.locked v3"</t>
        </r>
      </text>
    </comment>
    <comment ref="EL4" authorId="0" shapeId="0" xr:uid="{9FDD90EE-C5BF-461C-815C-513DA2E4875A}">
      <text>
        <r>
          <rPr>
            <b/>
            <sz val="9"/>
            <color indexed="81"/>
            <rFont val="Tahoma"/>
            <family val="2"/>
          </rPr>
          <t>Note:</t>
        </r>
        <r>
          <rPr>
            <sz val="9"/>
            <color indexed="81"/>
            <rFont val="Tahoma"/>
            <family val="2"/>
          </rPr>
          <t xml:space="preserve">
Not sure what year this is?!  Either FY21 or FY22…yes…confirmed by DR.</t>
        </r>
      </text>
    </comment>
    <comment ref="EM4" authorId="0" shapeId="0" xr:uid="{3D2E105E-FA1F-487F-B525-522E0B0B7FBD}">
      <text>
        <r>
          <rPr>
            <b/>
            <sz val="9"/>
            <color indexed="81"/>
            <rFont val="Tahoma"/>
            <family val="2"/>
          </rPr>
          <t>Source: ''FY23_PCI2_Rates.locked v3"</t>
        </r>
      </text>
    </comment>
    <comment ref="A8" authorId="0" shapeId="0" xr:uid="{A333A856-FE44-4FAA-AC8B-59C0210D409F}">
      <text>
        <r>
          <rPr>
            <b/>
            <sz val="9"/>
            <color indexed="81"/>
            <rFont val="Tahoma"/>
            <family val="2"/>
          </rPr>
          <t xml:space="preserve">Calc:  </t>
        </r>
        <r>
          <rPr>
            <sz val="9"/>
            <color indexed="81"/>
            <rFont val="Tahoma"/>
            <family val="2"/>
          </rPr>
          <t>FY Start of Plan Effective Date.</t>
        </r>
      </text>
    </comment>
    <comment ref="E8" authorId="0" shapeId="0" xr:uid="{C734C312-5AC3-4D2F-B5B8-7A8E4B4F654E}">
      <text>
        <r>
          <rPr>
            <b/>
            <sz val="9"/>
            <color indexed="81"/>
            <rFont val="Tahoma"/>
            <family val="2"/>
          </rPr>
          <t xml:space="preserve">Note, </t>
        </r>
        <r>
          <rPr>
            <sz val="9"/>
            <color indexed="81"/>
            <rFont val="Tahoma"/>
            <family val="2"/>
          </rPr>
          <t>PCP Mtg Date must be prior or equal to the Plan Effect Date.</t>
        </r>
      </text>
    </comment>
    <comment ref="A9" authorId="0" shapeId="0" xr:uid="{05EA0219-E331-4AC3-8E25-2DC92177550E}">
      <text>
        <r>
          <rPr>
            <b/>
            <sz val="9"/>
            <color indexed="81"/>
            <rFont val="Tahoma"/>
            <family val="2"/>
          </rPr>
          <t xml:space="preserve">Calc:  </t>
        </r>
        <r>
          <rPr>
            <sz val="9"/>
            <color indexed="81"/>
            <rFont val="Tahoma"/>
            <family val="2"/>
          </rPr>
          <t>Plan End Date + 1</t>
        </r>
      </text>
    </comment>
    <comment ref="E9" authorId="0" shapeId="0" xr:uid="{ABA47E19-8B6E-448B-825C-F977A8129665}">
      <text>
        <r>
          <rPr>
            <b/>
            <sz val="9"/>
            <color indexed="81"/>
            <rFont val="Tahoma"/>
            <family val="2"/>
          </rPr>
          <t xml:space="preserve">Note, </t>
        </r>
        <r>
          <rPr>
            <sz val="9"/>
            <color indexed="81"/>
            <rFont val="Tahoma"/>
            <family val="2"/>
          </rPr>
          <t>PCP Mtg Date must be prior or equal to the Plan Effect Date.</t>
        </r>
      </text>
    </comment>
    <comment ref="A10" authorId="0" shapeId="0" xr:uid="{140C19AE-AC8D-4D8C-8A1B-BFBE3153E9F7}">
      <text>
        <r>
          <rPr>
            <b/>
            <sz val="9"/>
            <color indexed="81"/>
            <rFont val="Tahoma"/>
            <family val="2"/>
          </rPr>
          <t xml:space="preserve">Calc:  </t>
        </r>
        <r>
          <rPr>
            <sz val="9"/>
            <color indexed="81"/>
            <rFont val="Tahoma"/>
            <family val="2"/>
          </rPr>
          <t xml:space="preserve">FY End of Budget Range + 1 …so out of range
</t>
        </r>
      </text>
    </comment>
    <comment ref="E10" authorId="0" shapeId="0" xr:uid="{356629BD-AC27-489B-BC3C-88CF85D39845}">
      <text>
        <r>
          <rPr>
            <b/>
            <sz val="9"/>
            <color indexed="81"/>
            <rFont val="Tahoma"/>
            <family val="2"/>
          </rPr>
          <t xml:space="preserve">Note, </t>
        </r>
        <r>
          <rPr>
            <sz val="9"/>
            <color indexed="81"/>
            <rFont val="Tahoma"/>
            <family val="2"/>
          </rPr>
          <t xml:space="preserve">Plan End Date must be &gt;= Plan Effective Date and within the FYs noted in cells N5 to O5, and prior to the next PCP/IP Date, and &lt;= 365 days from Plan Eff Date…and must be &lt;=6/30/24.
</t>
        </r>
      </text>
    </comment>
    <comment ref="A11" authorId="0" shapeId="0" xr:uid="{0211E37D-57F3-4BCE-954B-C4BADCA1D5E2}">
      <text>
        <r>
          <rPr>
            <b/>
            <sz val="9"/>
            <color indexed="81"/>
            <rFont val="Tahoma"/>
            <family val="2"/>
          </rPr>
          <t xml:space="preserve">Calc:  </t>
        </r>
        <r>
          <rPr>
            <sz val="9"/>
            <color indexed="81"/>
            <rFont val="Tahoma"/>
            <family val="2"/>
          </rPr>
          <t xml:space="preserve">Plan Effective Date +1 Year
</t>
        </r>
      </text>
    </comment>
    <comment ref="E11" authorId="0" shapeId="0" xr:uid="{FB4B3561-5A8B-43CD-A718-C8C9374A0D02}">
      <text>
        <r>
          <rPr>
            <b/>
            <sz val="9"/>
            <color indexed="81"/>
            <rFont val="Tahoma"/>
            <family val="2"/>
          </rPr>
          <t xml:space="preserve">Note, </t>
        </r>
        <r>
          <rPr>
            <sz val="9"/>
            <color indexed="81"/>
            <rFont val="Tahoma"/>
            <family val="2"/>
          </rPr>
          <t>Next PCP/IP Mtg Date must come after the Plan End Date but within a year of the Plan Eff Date.</t>
        </r>
      </text>
    </comment>
    <comment ref="A12" authorId="0" shapeId="0" xr:uid="{5A9D648C-F2DC-49A8-A08D-BD2F6D620B6B}">
      <text>
        <r>
          <rPr>
            <b/>
            <sz val="9"/>
            <color indexed="81"/>
            <rFont val="Tahoma"/>
            <family val="2"/>
          </rPr>
          <t xml:space="preserve">Note, </t>
        </r>
        <r>
          <rPr>
            <sz val="9"/>
            <color indexed="81"/>
            <rFont val="Tahoma"/>
            <family val="2"/>
          </rPr>
          <t>cell is used for formula.</t>
        </r>
      </text>
    </comment>
    <comment ref="AF12" authorId="0" shapeId="0" xr:uid="{A42E0750-2F7F-4D88-9765-EE3D083B34C5}">
      <text>
        <r>
          <rPr>
            <b/>
            <sz val="9"/>
            <color indexed="81"/>
            <rFont val="Tahoma"/>
            <family val="2"/>
          </rPr>
          <t>Note, this cell may not be necessary, but kept just in case.</t>
        </r>
      </text>
    </comment>
    <comment ref="AG12" authorId="0" shapeId="0" xr:uid="{4305D0B0-3161-460B-8A37-0224C491A7F6}">
      <text>
        <r>
          <rPr>
            <b/>
            <sz val="9"/>
            <color indexed="81"/>
            <rFont val="Tahoma"/>
            <family val="2"/>
          </rPr>
          <t>Note, this cell may not be necessary, but kept just in case.</t>
        </r>
      </text>
    </comment>
    <comment ref="AH12" authorId="0" shapeId="0" xr:uid="{C33E9698-34ED-4310-8961-AEA97F5E9C5F}">
      <text>
        <r>
          <rPr>
            <b/>
            <sz val="9"/>
            <color indexed="81"/>
            <rFont val="Tahoma"/>
            <family val="2"/>
          </rPr>
          <t>Note,</t>
        </r>
        <r>
          <rPr>
            <sz val="9"/>
            <color indexed="81"/>
            <rFont val="Tahoma"/>
            <family val="2"/>
          </rPr>
          <t xml:space="preserve"> this cell may not be necessary, but kept just in case.</t>
        </r>
      </text>
    </comment>
    <comment ref="A13" authorId="0" shapeId="0" xr:uid="{49778691-EA66-4828-A290-B26DDC45BA62}">
      <text>
        <r>
          <rPr>
            <b/>
            <sz val="9"/>
            <color indexed="81"/>
            <rFont val="Tahoma"/>
            <family val="2"/>
          </rPr>
          <t xml:space="preserve">Calc:  </t>
        </r>
        <r>
          <rPr>
            <sz val="9"/>
            <color indexed="81"/>
            <rFont val="Tahoma"/>
            <family val="2"/>
          </rPr>
          <t>End of 1st FY.</t>
        </r>
      </text>
    </comment>
    <comment ref="AF13" authorId="0" shapeId="0" xr:uid="{069C0285-2FE8-4C21-9A39-BF2B2416D7D3}">
      <text>
        <r>
          <rPr>
            <b/>
            <sz val="9"/>
            <color indexed="81"/>
            <rFont val="Tahoma"/>
            <family val="2"/>
          </rPr>
          <t>Note, this cell may not be necessary, but kept just in case.</t>
        </r>
      </text>
    </comment>
    <comment ref="AG13" authorId="0" shapeId="0" xr:uid="{23881930-4EC2-440E-B012-66A8F01380F5}">
      <text>
        <r>
          <rPr>
            <b/>
            <sz val="9"/>
            <color indexed="81"/>
            <rFont val="Tahoma"/>
            <family val="2"/>
          </rPr>
          <t>Note, this cell may not be necessary, but kept just in case.</t>
        </r>
      </text>
    </comment>
    <comment ref="A14" authorId="0" shapeId="0" xr:uid="{FDAA3CE1-E617-49C6-AD58-43F4F0330313}">
      <text>
        <r>
          <rPr>
            <sz val="9"/>
            <color indexed="81"/>
            <rFont val="Tahoma"/>
            <family val="2"/>
          </rPr>
          <t>not sure if/how used.</t>
        </r>
      </text>
    </comment>
    <comment ref="AE14" authorId="0" shapeId="0" xr:uid="{9D29E35E-C253-4498-B50B-6D66A256DB4D}">
      <text>
        <r>
          <rPr>
            <b/>
            <sz val="9"/>
            <color indexed="81"/>
            <rFont val="Tahoma"/>
            <family val="2"/>
          </rPr>
          <t xml:space="preserve">Note, </t>
        </r>
        <r>
          <rPr>
            <sz val="9"/>
            <color indexed="81"/>
            <rFont val="Tahoma"/>
            <family val="2"/>
          </rPr>
          <t>this cell may not be necessary, but kept just in case…relates to FY19 3.5% cola.</t>
        </r>
      </text>
    </comment>
    <comment ref="A15" authorId="0" shapeId="0" xr:uid="{5A07660E-6458-4B77-9EFC-23DFAE8AB2E1}">
      <text>
        <r>
          <rPr>
            <b/>
            <sz val="9"/>
            <color indexed="81"/>
            <rFont val="Tahoma"/>
            <family val="2"/>
          </rPr>
          <t>Calc:</t>
        </r>
        <r>
          <rPr>
            <sz val="9"/>
            <color indexed="81"/>
            <rFont val="Tahoma"/>
            <family val="2"/>
          </rPr>
          <t xml:space="preserve"> # of Days in the Plan.</t>
        </r>
      </text>
    </comment>
    <comment ref="AE15" authorId="0" shapeId="0" xr:uid="{3789151C-6C5D-42A5-BCA9-1206DB386485}">
      <text>
        <r>
          <rPr>
            <b/>
            <sz val="9"/>
            <color indexed="81"/>
            <rFont val="Tahoma"/>
            <family val="2"/>
          </rPr>
          <t xml:space="preserve">Note, </t>
        </r>
        <r>
          <rPr>
            <sz val="9"/>
            <color indexed="81"/>
            <rFont val="Tahoma"/>
            <family val="2"/>
          </rPr>
          <t>this cell was based on pers supports…so not needed anymore.</t>
        </r>
      </text>
    </comment>
    <comment ref="A16" authorId="0" shapeId="0" xr:uid="{D0363386-875D-4220-8337-12500120F878}">
      <text>
        <r>
          <rPr>
            <b/>
            <sz val="9"/>
            <color indexed="81"/>
            <rFont val="Tahoma"/>
            <family val="2"/>
          </rPr>
          <t>Start</t>
        </r>
        <r>
          <rPr>
            <sz val="9"/>
            <color indexed="81"/>
            <rFont val="Tahoma"/>
            <family val="2"/>
          </rPr>
          <t xml:space="preserve"> of 1st FY.</t>
        </r>
      </text>
    </comment>
    <comment ref="B16" authorId="0" shapeId="0" xr:uid="{5C00CA06-A115-461B-BF41-53C3F3F46233}">
      <text>
        <r>
          <rPr>
            <b/>
            <sz val="9"/>
            <color indexed="81"/>
            <rFont val="Tahoma"/>
            <family val="2"/>
          </rPr>
          <t xml:space="preserve">End </t>
        </r>
        <r>
          <rPr>
            <sz val="9"/>
            <color indexed="81"/>
            <rFont val="Tahoma"/>
            <family val="2"/>
          </rPr>
          <t xml:space="preserve">of 2nd FY.
</t>
        </r>
      </text>
    </comment>
    <comment ref="AN17" authorId="0" shapeId="0" xr:uid="{D7F0AB4A-E286-497C-845B-5A784C0CCE10}">
      <text>
        <r>
          <rPr>
            <b/>
            <sz val="9"/>
            <color indexed="81"/>
            <rFont val="Tahoma"/>
            <family val="2"/>
          </rPr>
          <t xml:space="preserve">not sure how this is used, but it signifies the column count that the referenced cell resides in.
</t>
        </r>
      </text>
    </comment>
    <comment ref="AP17" authorId="0" shapeId="0" xr:uid="{3CE0CAB5-C25C-4FD6-9B18-6C3A17FE9FCC}">
      <text>
        <r>
          <rPr>
            <b/>
            <sz val="9"/>
            <color indexed="81"/>
            <rFont val="Tahoma"/>
            <family val="2"/>
          </rPr>
          <t>These 2 highlighted red cells are no longer needed.   They have been  replaced…see "X28" section.</t>
        </r>
      </text>
    </comment>
    <comment ref="A18" authorId="0" shapeId="0" xr:uid="{DA63140D-2E20-4DB7-B4B1-B7E8217F1203}">
      <text>
        <r>
          <rPr>
            <b/>
            <sz val="9"/>
            <color indexed="81"/>
            <rFont val="Tahoma"/>
            <family val="2"/>
          </rPr>
          <t xml:space="preserve">Note: </t>
        </r>
        <r>
          <rPr>
            <sz val="9"/>
            <color indexed="81"/>
            <rFont val="Tahoma"/>
            <family val="2"/>
          </rPr>
          <t xml:space="preserve">these rates were updated to actual fy rates in lieu of a cola trend being used from fy18 on.  </t>
        </r>
      </text>
    </comment>
    <comment ref="B18" authorId="0" shapeId="0" xr:uid="{8674AC6D-77A0-4FBD-8B98-E12914FD5CF9}">
      <text>
        <r>
          <rPr>
            <b/>
            <sz val="9"/>
            <color indexed="81"/>
            <rFont val="Tahoma"/>
            <family val="2"/>
          </rPr>
          <t>Note,</t>
        </r>
        <r>
          <rPr>
            <sz val="9"/>
            <color indexed="81"/>
            <rFont val="Tahoma"/>
            <family val="2"/>
          </rPr>
          <t xml:space="preserve"> this amount adds in transportation too for day hab thus more than supp empl, for ex.</t>
        </r>
      </text>
    </comment>
    <comment ref="AE29" authorId="0" shapeId="0" xr:uid="{E464DC8A-7E36-4082-BD41-9081907852C8}">
      <text>
        <r>
          <rPr>
            <b/>
            <sz val="9"/>
            <color indexed="81"/>
            <rFont val="Tahoma"/>
            <family val="2"/>
          </rPr>
          <t xml:space="preserve">Note, </t>
        </r>
        <r>
          <rPr>
            <sz val="9"/>
            <color indexed="81"/>
            <rFont val="Tahoma"/>
            <family val="2"/>
          </rPr>
          <t>this cell may not be necessary, but kept just in case.</t>
        </r>
      </text>
    </comment>
    <comment ref="AE30" authorId="0" shapeId="0" xr:uid="{5ED5371E-5C83-4369-A491-7184152D10EA}">
      <text>
        <r>
          <rPr>
            <b/>
            <sz val="9"/>
            <color indexed="81"/>
            <rFont val="Tahoma"/>
            <family val="2"/>
          </rPr>
          <t xml:space="preserve">Note, </t>
        </r>
        <r>
          <rPr>
            <sz val="9"/>
            <color indexed="81"/>
            <rFont val="Tahoma"/>
            <family val="2"/>
          </rPr>
          <t>this cell may not be necessary, but kept just in case.</t>
        </r>
      </text>
    </comment>
    <comment ref="AE31" authorId="0" shapeId="0" xr:uid="{F48A876F-0873-4B44-BD61-9BE8D3C29DAB}">
      <text>
        <r>
          <rPr>
            <b/>
            <sz val="9"/>
            <color indexed="81"/>
            <rFont val="Tahoma"/>
            <family val="2"/>
          </rPr>
          <t>Note,</t>
        </r>
        <r>
          <rPr>
            <sz val="9"/>
            <color indexed="81"/>
            <rFont val="Tahoma"/>
            <family val="2"/>
          </rPr>
          <t xml:space="preserve"> this cell may not be necessary, but kept just in case.</t>
        </r>
      </text>
    </comment>
    <comment ref="A33" authorId="0" shapeId="0" xr:uid="{DDA3B408-D87B-491D-AE1A-10684B717E67}">
      <text>
        <r>
          <rPr>
            <b/>
            <sz val="9"/>
            <color indexed="81"/>
            <rFont val="Tahoma"/>
            <family val="2"/>
          </rPr>
          <t xml:space="preserve">Note: </t>
        </r>
        <r>
          <rPr>
            <sz val="9"/>
            <color indexed="81"/>
            <rFont val="Tahoma"/>
            <family val="2"/>
          </rPr>
          <t>These rates are populated based on rates contained in WAIVER RATE TABLE.</t>
        </r>
      </text>
    </comment>
    <comment ref="B33" authorId="0" shapeId="0" xr:uid="{1AB5AC3D-4974-4217-B8B8-B93291ED2579}">
      <text>
        <r>
          <rPr>
            <b/>
            <sz val="9"/>
            <color indexed="81"/>
            <rFont val="Tahoma"/>
            <family val="2"/>
          </rPr>
          <t xml:space="preserve">Note: </t>
        </r>
        <r>
          <rPr>
            <sz val="9"/>
            <color indexed="81"/>
            <rFont val="Tahoma"/>
            <family val="2"/>
          </rPr>
          <t>These rates are populated based on rates contained in WAIVER RATE TABLE.</t>
        </r>
      </text>
    </comment>
    <comment ref="AM34" authorId="0" shapeId="0" xr:uid="{C7E82E2B-9B3D-44B4-BF2B-E2E2F062ACDC}">
      <text>
        <r>
          <rPr>
            <b/>
            <sz val="9"/>
            <color indexed="81"/>
            <rFont val="Tahoma"/>
            <family val="2"/>
          </rPr>
          <t>per Robert, put in 4% across the board as a proxy for FY24.</t>
        </r>
      </text>
    </comment>
    <comment ref="AU42" authorId="0" shapeId="0" xr:uid="{A866865C-DE77-468D-AD8C-28DFB0CA47EF}">
      <text>
        <r>
          <rPr>
            <b/>
            <sz val="9"/>
            <color indexed="81"/>
            <rFont val="Tahoma"/>
            <family val="2"/>
          </rPr>
          <t>KCB Note:  these are  old years…so irrelevant…and no concern for the #Ref! that they are linked to…see Add-on tool ....B10.</t>
        </r>
      </text>
    </comment>
    <comment ref="AO74" authorId="0" shapeId="0" xr:uid="{37BD9D76-8E23-4CB5-9399-A25FA46D9F16}">
      <text>
        <r>
          <rPr>
            <b/>
            <sz val="9"/>
            <color indexed="81"/>
            <rFont val="Tahoma"/>
            <family val="2"/>
          </rPr>
          <t>KCB:  these don't seem to be needed, according to Formula Trace.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AG2" authorId="0" shapeId="0" xr:uid="{50B78333-199F-46A5-B6B0-703478756545}">
      <text>
        <r>
          <rPr>
            <b/>
            <sz val="9"/>
            <color indexed="81"/>
            <rFont val="Tahoma"/>
            <family val="2"/>
          </rPr>
          <t>KCB Note:  kcb fixed #Ref errors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N3" authorId="0" shapeId="0" xr:uid="{00F7E771-5E25-4E80-A2FF-4D68017A93DD}">
      <text>
        <r>
          <rPr>
            <b/>
            <sz val="9"/>
            <color indexed="81"/>
            <rFont val="Tahoma"/>
            <family val="2"/>
          </rPr>
          <t xml:space="preserve">Note…not sure of the accuracy of these historical rates, though it seems Col O may actually have been '22 rates, since they match column P, so ???...though </t>
        </r>
        <r>
          <rPr>
            <b/>
            <u/>
            <sz val="9"/>
            <color indexed="81"/>
            <rFont val="Tahoma"/>
            <family val="2"/>
          </rPr>
          <t>not of concern</t>
        </r>
        <r>
          <rPr>
            <b/>
            <sz val="9"/>
            <color indexed="81"/>
            <rFont val="Tahoma"/>
            <family val="2"/>
          </rPr>
          <t xml:space="preserve"> since </t>
        </r>
        <r>
          <rPr>
            <b/>
            <u/>
            <sz val="9"/>
            <color indexed="81"/>
            <rFont val="Tahoma"/>
            <family val="2"/>
          </rPr>
          <t>not utilized</t>
        </r>
        <r>
          <rPr>
            <b/>
            <sz val="9"/>
            <color indexed="81"/>
            <rFont val="Tahoma"/>
            <family val="2"/>
          </rPr>
          <t xml:space="preserve"> currently.</t>
        </r>
        <r>
          <rPr>
            <sz val="9"/>
            <color indexed="81"/>
            <rFont val="Tahoma"/>
            <family val="2"/>
          </rPr>
          <t xml:space="preserve">
</t>
        </r>
      </text>
    </comment>
    <comment ref="O5" authorId="0" shapeId="0" xr:uid="{0856D491-9DEF-41D3-9465-67E0E85DD050}">
      <text>
        <r>
          <rPr>
            <b/>
            <sz val="9"/>
            <color indexed="81"/>
            <rFont val="Tahoma"/>
            <family val="2"/>
          </rPr>
          <t>These are FY22 rates even tho the header reads fy2021….these earlier columns are not used so no concern.</t>
        </r>
      </text>
    </comment>
    <comment ref="V5" authorId="0" shapeId="0" xr:uid="{A844DE65-2276-4BEB-BB67-8BDD3F68CEF2}">
      <text>
        <r>
          <rPr>
            <b/>
            <sz val="9"/>
            <color indexed="81"/>
            <rFont val="Tahoma"/>
            <family val="2"/>
          </rPr>
          <t>Source:  same table as 'Waiver SQL Data'!$A$1:$J$123… and as tab "WaiverPivot Table" …so make sure these are the same!!</t>
        </r>
      </text>
    </comment>
    <comment ref="AC9" authorId="0" shapeId="0" xr:uid="{5D6E2B18-61FC-4830-BFDC-A06F3AC94B86}">
      <text>
        <r>
          <rPr>
            <b/>
            <sz val="9"/>
            <color indexed="81"/>
            <rFont val="Tahoma"/>
            <family val="2"/>
          </rPr>
          <t>Note:  the following is just a check 'n balance against invoices…and it balances!</t>
        </r>
      </text>
    </comment>
    <comment ref="AG58" authorId="0" shapeId="0" xr:uid="{18FF730C-077F-44C4-B42E-A96F819438C8}">
      <text>
        <r>
          <rPr>
            <b/>
            <sz val="9"/>
            <color indexed="81"/>
            <rFont val="Tahoma"/>
            <family val="2"/>
          </rPr>
          <t>Per DN, since it's not a part of tool, leave it out…ie as is.  It still gets invoiced separately.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C10" authorId="0" shapeId="0" xr:uid="{AC7498E2-844A-4388-A306-956DCE4340C1}">
      <text>
        <r>
          <rPr>
            <b/>
            <sz val="9"/>
            <color indexed="81"/>
            <rFont val="Tahoma"/>
            <family val="2"/>
          </rPr>
          <t>Note:  this tables ties to FPS Pivot Table per the FPS SQL…so trusting the FPS SQL/PivotTable in lieu of this pull since the same results.</t>
        </r>
      </text>
    </comment>
    <comment ref="J10" authorId="0" shapeId="0" xr:uid="{8857EE74-EFD7-4BBC-8536-1A639F97C974}">
      <text>
        <r>
          <rPr>
            <b/>
            <sz val="9"/>
            <color indexed="81"/>
            <rFont val="Tahoma"/>
            <family val="2"/>
          </rPr>
          <t>Note:  these are used in the Budget tab…see X28</t>
        </r>
      </text>
    </comment>
    <comment ref="O10" authorId="0" shapeId="0" xr:uid="{53B89D08-2D58-49C0-87D9-025F598BDD9B}">
      <text>
        <r>
          <rPr>
            <b/>
            <sz val="9"/>
            <color indexed="81"/>
            <rFont val="Tahoma"/>
            <family val="2"/>
          </rPr>
          <t>Note:  these are used in the Budget tab…see DV and EC.</t>
        </r>
      </text>
    </comment>
    <comment ref="M12" authorId="0" shapeId="0" xr:uid="{1C77314F-2FC8-4252-BC3D-607731285F9C}">
      <text>
        <r>
          <rPr>
            <b/>
            <sz val="9"/>
            <color indexed="81"/>
            <rFont val="Tahoma"/>
            <family val="2"/>
          </rPr>
          <t>Note:  FY22 was a proxy based on the midpoint of FY23 and FY21 (1/21-6/21)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A1" authorId="0" shapeId="0" xr:uid="{FA99C27A-1EA5-4F4A-A88D-9A862D0CC9E9}">
      <text>
        <r>
          <rPr>
            <b/>
            <sz val="9"/>
            <color indexed="81"/>
            <rFont val="Tahoma"/>
            <family val="2"/>
          </rPr>
          <t xml:space="preserve">
Note:  these rates are used on the Budget sheet, in the columns to the right for Day and Res…BY to DK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Booth, Kimberly C.</author>
  </authors>
  <commentList>
    <comment ref="A5" authorId="0" shapeId="0" xr:uid="{B181024C-CA16-4DD2-9340-E24971B9C7E3}">
      <text>
        <r>
          <rPr>
            <b/>
            <sz val="9"/>
            <color indexed="81"/>
            <rFont val="Tahoma"/>
            <family val="2"/>
          </rPr>
          <t xml:space="preserve">NOTE: </t>
        </r>
        <r>
          <rPr>
            <sz val="9"/>
            <color indexed="81"/>
            <rFont val="Tahoma"/>
            <family val="2"/>
          </rPr>
          <t xml:space="preserve"> this same table is located in the Tab "Waiver Rate Table"…see Columns U-Z…right-click into any cell and select "Refresh Pivot Table".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<sst xmlns="http://schemas.openxmlformats.org/spreadsheetml/2006/main" count="10454" uniqueCount="818">
  <si>
    <t>1-19</t>
  </si>
  <si>
    <t>20-22</t>
  </si>
  <si>
    <t>23-24</t>
  </si>
  <si>
    <t>28-82</t>
  </si>
  <si>
    <t>83-168</t>
  </si>
  <si>
    <t>EFF_DATE</t>
  </si>
  <si>
    <t>END_DT</t>
  </si>
  <si>
    <t>MTRX_TYPE</t>
  </si>
  <si>
    <t>MTRX_CD</t>
  </si>
  <si>
    <t>SUPV_LVL</t>
  </si>
  <si>
    <t>HLTH_LVL</t>
  </si>
  <si>
    <t>REGION</t>
  </si>
  <si>
    <t>RATE</t>
  </si>
  <si>
    <t>01-JUL-2017</t>
  </si>
  <si>
    <t>30-JUN-2018</t>
  </si>
  <si>
    <t>D</t>
  </si>
  <si>
    <t>1</t>
  </si>
  <si>
    <t>2</t>
  </si>
  <si>
    <t>3</t>
  </si>
  <si>
    <t>4</t>
  </si>
  <si>
    <t>5</t>
  </si>
  <si>
    <t>6</t>
  </si>
  <si>
    <t>HOURS</t>
  </si>
  <si>
    <t>RATE_FOR1</t>
  </si>
  <si>
    <t>RATE_FOR2</t>
  </si>
  <si>
    <t>RATE_FOR3</t>
  </si>
  <si>
    <t>C</t>
  </si>
  <si>
    <t>0</t>
  </si>
  <si>
    <t>25</t>
  </si>
  <si>
    <t>26</t>
  </si>
  <si>
    <t>27</t>
  </si>
  <si>
    <t>Plan Type</t>
  </si>
  <si>
    <t>Waiver Type</t>
  </si>
  <si>
    <t>Traditional</t>
  </si>
  <si>
    <t>Reference Tables</t>
  </si>
  <si>
    <t>Personal Supports</t>
  </si>
  <si>
    <t>W8336</t>
  </si>
  <si>
    <t>W8337</t>
  </si>
  <si>
    <t>W8342</t>
  </si>
  <si>
    <t>W5652</t>
  </si>
  <si>
    <t>W5653</t>
  </si>
  <si>
    <t>W5642</t>
  </si>
  <si>
    <t>W5643</t>
  </si>
  <si>
    <t>W5686</t>
  </si>
  <si>
    <t>W5684</t>
  </si>
  <si>
    <t>Assistive Technology and Services</t>
  </si>
  <si>
    <t>W5692</t>
  </si>
  <si>
    <t>W5693</t>
  </si>
  <si>
    <t>W5694</t>
  </si>
  <si>
    <t>W5695</t>
  </si>
  <si>
    <t>W5702</t>
  </si>
  <si>
    <t>W5703</t>
  </si>
  <si>
    <t>W5704</t>
  </si>
  <si>
    <t>W5705</t>
  </si>
  <si>
    <t>W5722</t>
  </si>
  <si>
    <t>W5723</t>
  </si>
  <si>
    <t>W5724</t>
  </si>
  <si>
    <t>W5725</t>
  </si>
  <si>
    <t>W5712</t>
  </si>
  <si>
    <t>W5713</t>
  </si>
  <si>
    <t>W5714</t>
  </si>
  <si>
    <t>W5715</t>
  </si>
  <si>
    <t>W5732</t>
  </si>
  <si>
    <t>W5733</t>
  </si>
  <si>
    <t>W5734</t>
  </si>
  <si>
    <t>W5735</t>
  </si>
  <si>
    <t>Environmental Assessment</t>
  </si>
  <si>
    <t>W5742</t>
  </si>
  <si>
    <t>W5743</t>
  </si>
  <si>
    <t>W5744</t>
  </si>
  <si>
    <t>W5745</t>
  </si>
  <si>
    <t>Environmental Modification</t>
  </si>
  <si>
    <t>W5752</t>
  </si>
  <si>
    <t>W5753</t>
  </si>
  <si>
    <t>W5754</t>
  </si>
  <si>
    <t>W5755</t>
  </si>
  <si>
    <t>Family and Peer Mentoring Supports</t>
  </si>
  <si>
    <t>W5762</t>
  </si>
  <si>
    <t>W5763</t>
  </si>
  <si>
    <t>W5764</t>
  </si>
  <si>
    <t>W5765</t>
  </si>
  <si>
    <t>Family Caregiver Training and Empowerment</t>
  </si>
  <si>
    <t>W5772</t>
  </si>
  <si>
    <t>W5773</t>
  </si>
  <si>
    <t>W5774</t>
  </si>
  <si>
    <t>W5775</t>
  </si>
  <si>
    <t>Housing Support Services</t>
  </si>
  <si>
    <t>Individual and Family Directed Goods &amp; Services</t>
  </si>
  <si>
    <t>Nursing - Nurse Case Management and Delegation</t>
  </si>
  <si>
    <t>Nursing - Nurse Consultation</t>
  </si>
  <si>
    <t>Nursing - Nurse Health Case Management</t>
  </si>
  <si>
    <t>N/A</t>
  </si>
  <si>
    <t>Participant Ed, Training, and Advocacy</t>
  </si>
  <si>
    <t>W5782</t>
  </si>
  <si>
    <t>W5783</t>
  </si>
  <si>
    <t>W5784</t>
  </si>
  <si>
    <t>W5785</t>
  </si>
  <si>
    <t>W5812</t>
  </si>
  <si>
    <t>W5813</t>
  </si>
  <si>
    <t>W5814</t>
  </si>
  <si>
    <t>W5815</t>
  </si>
  <si>
    <t>Respite Care Services - Camp</t>
  </si>
  <si>
    <t>W5852</t>
  </si>
  <si>
    <t>W5853</t>
  </si>
  <si>
    <t>W5854</t>
  </si>
  <si>
    <t>W5855</t>
  </si>
  <si>
    <t>Respite Care Services - Day</t>
  </si>
  <si>
    <t>W5824</t>
  </si>
  <si>
    <t>W5825</t>
  </si>
  <si>
    <t>W5826</t>
  </si>
  <si>
    <t>W5827</t>
  </si>
  <si>
    <t>Respite Care Services - Hour</t>
  </si>
  <si>
    <t>W5832</t>
  </si>
  <si>
    <t>W5833</t>
  </si>
  <si>
    <t>W5834</t>
  </si>
  <si>
    <t>W5835</t>
  </si>
  <si>
    <t>Transportation</t>
  </si>
  <si>
    <t>W5864</t>
  </si>
  <si>
    <t>W5865</t>
  </si>
  <si>
    <t>W5856</t>
  </si>
  <si>
    <t>W5870</t>
  </si>
  <si>
    <t>Vehicle Modification</t>
  </si>
  <si>
    <t>W5873</t>
  </si>
  <si>
    <t>W5874</t>
  </si>
  <si>
    <t>W5875</t>
  </si>
  <si>
    <t>W5876</t>
  </si>
  <si>
    <t>Support Broker Services</t>
  </si>
  <si>
    <t>Self-Direction</t>
  </si>
  <si>
    <t>W1745</t>
  </si>
  <si>
    <t>Hour</t>
  </si>
  <si>
    <t>W1746</t>
  </si>
  <si>
    <t>Yes</t>
  </si>
  <si>
    <t>Milestone</t>
  </si>
  <si>
    <t>Quarter Hour</t>
  </si>
  <si>
    <t>Day</t>
  </si>
  <si>
    <t>Month</t>
  </si>
  <si>
    <t>Community Development Services</t>
  </si>
  <si>
    <t>Day Habilitation</t>
  </si>
  <si>
    <t>Career Exploration - Small</t>
  </si>
  <si>
    <t>Career Exploration - Large</t>
  </si>
  <si>
    <t>Career Exploration - Facility</t>
  </si>
  <si>
    <t>W5685</t>
  </si>
  <si>
    <t>Upper Pay Limit</t>
  </si>
  <si>
    <t>Units</t>
  </si>
  <si>
    <t>Matrix Levels</t>
  </si>
  <si>
    <t>Unit Type</t>
  </si>
  <si>
    <t>Service Name</t>
  </si>
  <si>
    <t>Region</t>
  </si>
  <si>
    <t>Concatenate Lookup</t>
  </si>
  <si>
    <t>Hrs of Personal Supports/Week</t>
  </si>
  <si>
    <t>Additional Supports Subtotal</t>
  </si>
  <si>
    <t>G&amp;A Adj for SD</t>
  </si>
  <si>
    <t>Supported Employment</t>
  </si>
  <si>
    <t>Employment Discovery and Customization</t>
  </si>
  <si>
    <t>Support Services</t>
  </si>
  <si>
    <t>Rate</t>
  </si>
  <si>
    <t>Hours</t>
  </si>
  <si>
    <t>County</t>
  </si>
  <si>
    <t>Baltimore City</t>
  </si>
  <si>
    <t>Baltimore County</t>
  </si>
  <si>
    <t>Anne Arundel</t>
  </si>
  <si>
    <t>Harford</t>
  </si>
  <si>
    <t>Howard</t>
  </si>
  <si>
    <t>Carroll</t>
  </si>
  <si>
    <t>Queen Anne's</t>
  </si>
  <si>
    <t>Calvert</t>
  </si>
  <si>
    <t>Frederick</t>
  </si>
  <si>
    <t>Prince George's</t>
  </si>
  <si>
    <t>Montgomery</t>
  </si>
  <si>
    <t>Charles</t>
  </si>
  <si>
    <t>St. Mary's</t>
  </si>
  <si>
    <t>Caroline</t>
  </si>
  <si>
    <t>Garrett</t>
  </si>
  <si>
    <t>Dorchester</t>
  </si>
  <si>
    <t>Kent</t>
  </si>
  <si>
    <t>Somerset</t>
  </si>
  <si>
    <t>Talbot</t>
  </si>
  <si>
    <t>Wicomico</t>
  </si>
  <si>
    <t>Worcester</t>
  </si>
  <si>
    <t>Allegany</t>
  </si>
  <si>
    <t>Cecil</t>
  </si>
  <si>
    <t>Washington</t>
  </si>
  <si>
    <t>P/S Hrs/Week</t>
  </si>
  <si>
    <t>Days</t>
  </si>
  <si>
    <t>July</t>
  </si>
  <si>
    <t>August</t>
  </si>
  <si>
    <t>September</t>
  </si>
  <si>
    <t>October</t>
  </si>
  <si>
    <t>November</t>
  </si>
  <si>
    <t>December</t>
  </si>
  <si>
    <t>January</t>
  </si>
  <si>
    <t>February</t>
  </si>
  <si>
    <t>March</t>
  </si>
  <si>
    <t>April</t>
  </si>
  <si>
    <t>May</t>
  </si>
  <si>
    <t>June</t>
  </si>
  <si>
    <t>Total</t>
  </si>
  <si>
    <t>Total Amount</t>
  </si>
  <si>
    <t>Waiver</t>
  </si>
  <si>
    <t>Family Supports Waiver</t>
  </si>
  <si>
    <t>Community Supports Waiver</t>
  </si>
  <si>
    <t>Concatenate</t>
  </si>
  <si>
    <t>TBD</t>
  </si>
  <si>
    <t>Code Unavailble</t>
  </si>
  <si>
    <t>Hrs per Week</t>
  </si>
  <si>
    <t>Person Name</t>
  </si>
  <si>
    <t>No</t>
  </si>
  <si>
    <t>Medical Day Care</t>
  </si>
  <si>
    <t>Meaningful Day Services Subtotal</t>
  </si>
  <si>
    <t>Note: Personal supports and day service rates will vary depending on supervisor level, health level, region, and weekly hour matrix scores.  Their rates are noted as "PCIS2 FPS Rate Calc" in the table below.</t>
  </si>
  <si>
    <t>Procedure Code</t>
  </si>
  <si>
    <t>UPL</t>
  </si>
  <si>
    <t/>
  </si>
  <si>
    <t>Group</t>
  </si>
  <si>
    <t>Day Services</t>
  </si>
  <si>
    <t xml:space="preserve">CS Trad </t>
  </si>
  <si>
    <t>CS SD</t>
  </si>
  <si>
    <t>FS SD</t>
  </si>
  <si>
    <t>FS Trad</t>
  </si>
  <si>
    <t>Selection</t>
  </si>
  <si>
    <t>Lookup</t>
  </si>
  <si>
    <t>Drop Down</t>
  </si>
  <si>
    <t>Order</t>
  </si>
  <si>
    <t>Index</t>
  </si>
  <si>
    <t>Day Services Dynamic Drop Down</t>
  </si>
  <si>
    <t>Social Security Number</t>
  </si>
  <si>
    <t>Provider</t>
  </si>
  <si>
    <t>Plan Start Date</t>
  </si>
  <si>
    <t>Site Number</t>
  </si>
  <si>
    <t>Proc Code</t>
  </si>
  <si>
    <t>Rate (A)</t>
  </si>
  <si>
    <t>Multiplier (B)</t>
  </si>
  <si>
    <t>Adj Rate (A x B)</t>
  </si>
  <si>
    <t>Wheelchair $</t>
  </si>
  <si>
    <t>Add-On Rates</t>
  </si>
  <si>
    <t>Service</t>
  </si>
  <si>
    <t>Group Look-Up</t>
  </si>
  <si>
    <t>Month Number</t>
  </si>
  <si>
    <t>Days in Month</t>
  </si>
  <si>
    <t>PCA 220</t>
  </si>
  <si>
    <t>PCA 221</t>
  </si>
  <si>
    <t>FY2018</t>
  </si>
  <si>
    <t>FY2019</t>
  </si>
  <si>
    <t>UPL indicator</t>
  </si>
  <si>
    <t>Service-Wvr Conflict</t>
  </si>
  <si>
    <t>PCIS2 Provider ID</t>
  </si>
  <si>
    <t>Total Provider Budget</t>
  </si>
  <si>
    <t>Total Units</t>
  </si>
  <si>
    <t>January 2018</t>
  </si>
  <si>
    <t>January 2019</t>
  </si>
  <si>
    <t>January 2020</t>
  </si>
  <si>
    <t>February 2018</t>
  </si>
  <si>
    <t>February 2019</t>
  </si>
  <si>
    <t>February 2020</t>
  </si>
  <si>
    <t>March 2018</t>
  </si>
  <si>
    <t>May 2018</t>
  </si>
  <si>
    <t>June 2018</t>
  </si>
  <si>
    <t>July 2018</t>
  </si>
  <si>
    <t>August 2018</t>
  </si>
  <si>
    <t>September 2018</t>
  </si>
  <si>
    <t>October 2018</t>
  </si>
  <si>
    <t>November 2018</t>
  </si>
  <si>
    <t>December 2018</t>
  </si>
  <si>
    <t>April 2018</t>
  </si>
  <si>
    <t>March 2019</t>
  </si>
  <si>
    <t>April 2019</t>
  </si>
  <si>
    <t>May 2019</t>
  </si>
  <si>
    <t>June 2019</t>
  </si>
  <si>
    <t>July 2019</t>
  </si>
  <si>
    <t>August 2019</t>
  </si>
  <si>
    <t>September 2019</t>
  </si>
  <si>
    <t>October 2019</t>
  </si>
  <si>
    <t>November 2019</t>
  </si>
  <si>
    <t>December 2019</t>
  </si>
  <si>
    <t>March 2020</t>
  </si>
  <si>
    <t>April 2020</t>
  </si>
  <si>
    <t>May 2020</t>
  </si>
  <si>
    <t>June 2020</t>
  </si>
  <si>
    <t>July 2020</t>
  </si>
  <si>
    <t>August 2020</t>
  </si>
  <si>
    <t>September 2020</t>
  </si>
  <si>
    <t>October 2020</t>
  </si>
  <si>
    <t>November 2020</t>
  </si>
  <si>
    <t>December 2020</t>
  </si>
  <si>
    <t>Start Date</t>
  </si>
  <si>
    <t>End Date</t>
  </si>
  <si>
    <t>Totals</t>
  </si>
  <si>
    <t>Day Check</t>
  </si>
  <si>
    <t>Hours/Week</t>
  </si>
  <si>
    <t>NW Days Chck</t>
  </si>
  <si>
    <t>NW Days</t>
  </si>
  <si>
    <t>Add-On Amount</t>
  </si>
  <si>
    <t>FY18 Rate</t>
  </si>
  <si>
    <t>FY2019 Rate</t>
  </si>
  <si>
    <t>FY2018 Rate</t>
  </si>
  <si>
    <t>x</t>
  </si>
  <si>
    <t>Meaningful Day Add-On Tool</t>
  </si>
  <si>
    <t>Meaningful Day Transportation Add-On Tool</t>
  </si>
  <si>
    <t>Community Pathways Waiver</t>
  </si>
  <si>
    <t>W5690</t>
  </si>
  <si>
    <t>W5691</t>
  </si>
  <si>
    <t>W5700</t>
  </si>
  <si>
    <t>W5701</t>
  </si>
  <si>
    <t>W5720</t>
  </si>
  <si>
    <t>W5721</t>
  </si>
  <si>
    <t>W5710</t>
  </si>
  <si>
    <t>W5711</t>
  </si>
  <si>
    <t>W5730</t>
  </si>
  <si>
    <t>W5731</t>
  </si>
  <si>
    <t>W5680</t>
  </si>
  <si>
    <t>W5679</t>
  </si>
  <si>
    <t>W5678</t>
  </si>
  <si>
    <t>W2116</t>
  </si>
  <si>
    <t>W8333</t>
  </si>
  <si>
    <t>Community Living - Group Home</t>
  </si>
  <si>
    <t>Residential Services</t>
  </si>
  <si>
    <t>W2101</t>
  </si>
  <si>
    <t>Community Living - Group Home Retainer Fee</t>
  </si>
  <si>
    <t>W2121</t>
  </si>
  <si>
    <t>Community Living - Group Home Trial Experience</t>
  </si>
  <si>
    <t>W0215</t>
  </si>
  <si>
    <t>W2102</t>
  </si>
  <si>
    <t>W0218</t>
  </si>
  <si>
    <t>W5651</t>
  </si>
  <si>
    <t>W5740</t>
  </si>
  <si>
    <t>W5741</t>
  </si>
  <si>
    <t>W5750</t>
  </si>
  <si>
    <t>W5751</t>
  </si>
  <si>
    <t>W5760</t>
  </si>
  <si>
    <t>W5761</t>
  </si>
  <si>
    <t>W5770</t>
  </si>
  <si>
    <t>W5771</t>
  </si>
  <si>
    <t>W5630</t>
  </si>
  <si>
    <t>W5631</t>
  </si>
  <si>
    <t>W5790</t>
  </si>
  <si>
    <t>W5791</t>
  </si>
  <si>
    <t>W5804</t>
  </si>
  <si>
    <t>W5805</t>
  </si>
  <si>
    <t>W5801</t>
  </si>
  <si>
    <t>W5802</t>
  </si>
  <si>
    <t>W5803</t>
  </si>
  <si>
    <t>W5780</t>
  </si>
  <si>
    <t>W5781</t>
  </si>
  <si>
    <t>W2133</t>
  </si>
  <si>
    <t>W2137</t>
  </si>
  <si>
    <t>W5820</t>
  </si>
  <si>
    <t>W5821</t>
  </si>
  <si>
    <t>W5877</t>
  </si>
  <si>
    <t>W5878</t>
  </si>
  <si>
    <t>W5850</t>
  </si>
  <si>
    <t>W5851</t>
  </si>
  <si>
    <t>W5822</t>
  </si>
  <si>
    <t>W5823</t>
  </si>
  <si>
    <t>W5830</t>
  </si>
  <si>
    <t>W5831</t>
  </si>
  <si>
    <t>Shared Living</t>
  </si>
  <si>
    <t>W2123</t>
  </si>
  <si>
    <t>Shared Living - Host Home Stipend</t>
  </si>
  <si>
    <t>W5611</t>
  </si>
  <si>
    <t>Shared Living - Matching Service</t>
  </si>
  <si>
    <t>W5610</t>
  </si>
  <si>
    <t>W2124</t>
  </si>
  <si>
    <t>W2103</t>
  </si>
  <si>
    <t>W5641</t>
  </si>
  <si>
    <t>Supported Living</t>
  </si>
  <si>
    <t>W5621</t>
  </si>
  <si>
    <t>Transition Services</t>
  </si>
  <si>
    <t>W5860</t>
  </si>
  <si>
    <t>W5861</t>
  </si>
  <si>
    <t>W5862</t>
  </si>
  <si>
    <t>W5863</t>
  </si>
  <si>
    <t>W5871</t>
  </si>
  <si>
    <t>W5872</t>
  </si>
  <si>
    <t>CP SD</t>
  </si>
  <si>
    <t>CP Trad</t>
  </si>
  <si>
    <t>R</t>
  </si>
  <si>
    <t>Residential</t>
  </si>
  <si>
    <t>Employment</t>
  </si>
  <si>
    <t>Category</t>
  </si>
  <si>
    <t>Residential Services Dynamic Drop Down</t>
  </si>
  <si>
    <t xml:space="preserve">CP Trad </t>
  </si>
  <si>
    <t>*Medical Day Care is not authorized by DDA.  Highlighted rates are calculated using matrix.</t>
  </si>
  <si>
    <t>Sup</t>
  </si>
  <si>
    <t>H/M</t>
  </si>
  <si>
    <t>Site Needed</t>
  </si>
  <si>
    <t>Supports Services Dynamic Drop Down</t>
  </si>
  <si>
    <t>Residential Services Subtotal</t>
  </si>
  <si>
    <t>Residential Direct Support Add-On Tool</t>
  </si>
  <si>
    <t>Residential Awake/Overnight Add-On Tool</t>
  </si>
  <si>
    <t>Camp - Non-Respite (State-Only Funded)</t>
  </si>
  <si>
    <t>Other (State-Only Funded)</t>
  </si>
  <si>
    <t>Rent - Individual Support (State-Only Funded)</t>
  </si>
  <si>
    <t>Skilled Nursing (State-Only Funded)</t>
  </si>
  <si>
    <t>UPL/Total Entry</t>
  </si>
  <si>
    <t>INSTRUCTIONS:</t>
  </si>
  <si>
    <t>Description*</t>
  </si>
  <si>
    <t>*Necessary for Other (State-Only Funded) Services.</t>
  </si>
  <si>
    <t>Supported Living CP Self-Direction</t>
  </si>
  <si>
    <t>BSS - Behavioral Assessment (New)</t>
  </si>
  <si>
    <t>BSS - Behavioral Plan (New)</t>
  </si>
  <si>
    <t>BSS - Brief Support Implementation (New)</t>
  </si>
  <si>
    <t>W2111</t>
  </si>
  <si>
    <t>Half Hour</t>
  </si>
  <si>
    <t>W2112</t>
  </si>
  <si>
    <t>W2126</t>
  </si>
  <si>
    <t>Actual Days</t>
  </si>
  <si>
    <t>Remote Support Services</t>
  </si>
  <si>
    <t>Live In Caregiver Support</t>
  </si>
  <si>
    <t>FY2019 COLA</t>
  </si>
  <si>
    <t>Site-Based County</t>
  </si>
  <si>
    <t>W5632</t>
  </si>
  <si>
    <t>W5633</t>
  </si>
  <si>
    <t>W5634</t>
  </si>
  <si>
    <t>W5635</t>
  </si>
  <si>
    <t>Participant County</t>
  </si>
  <si>
    <t>Funding Adjustment</t>
  </si>
  <si>
    <t>No Change</t>
  </si>
  <si>
    <t>Addition</t>
  </si>
  <si>
    <t>Reduction</t>
  </si>
  <si>
    <t>New Service</t>
  </si>
  <si>
    <t>Shared Living (old)</t>
  </si>
  <si>
    <t>State Only</t>
  </si>
  <si>
    <t>Waiver/Program Type</t>
  </si>
  <si>
    <t>W5807</t>
  </si>
  <si>
    <t>W5808</t>
  </si>
  <si>
    <t>W5809</t>
  </si>
  <si>
    <t>W5816</t>
  </si>
  <si>
    <t>W5817</t>
  </si>
  <si>
    <t>5. If personal supports are needed, click the "PS &amp; Plan Tool" sheet. First, you will input the county where the participant is receiving this service and the number of persons in the home (1, 2, or 3). Then you will populate either the number of hours per month or the hours per week that the person needs for each month in the plan year in the "Personal Supports Tool" table. This will populate the "Personal Supports" section on the "Budget" tab. Again, this should be done after most of the data has already been entered in the "Budget" tab.</t>
  </si>
  <si>
    <t>7. In the "Self-Direction" tab, please ensure that the rates you identify fall between the reasonable and customary ranges (Column N and P). These will flag red if outside the boundaries. Also, available funding for "Individual and Family Directed Goods &amp; Services" and "Support Broker Services" is determined by the savings created when comparing traditional rates and units to those chosen for an individual's self-directed budget.</t>
  </si>
  <si>
    <t>8. The "Self-Direction" tab allows you to allocate personal supports hours between staff by selecting the number of hours per week for each employee (cells Q5:Q9). Up to five employees can be selected.</t>
  </si>
  <si>
    <t>2. All of the tabs are protected, meaning that you are only allowed to edit cells without formulas. Please don't attempt to unprotect the sheet and edit cells with formulas as it will affect the integrity of the model.</t>
  </si>
  <si>
    <r>
      <t xml:space="preserve">Meaningful Day Services </t>
    </r>
    <r>
      <rPr>
        <i/>
        <sz val="10"/>
        <color theme="1"/>
        <rFont val="Calibri"/>
        <family val="2"/>
        <scheme val="minor"/>
      </rPr>
      <t>(Input days according to operational calendar)</t>
    </r>
  </si>
  <si>
    <t>Personal</t>
  </si>
  <si>
    <t>Please make sure requested transportation dollars reflect the period selected on the "Budget" tab.</t>
  </si>
  <si>
    <t>Please note that end dates should be the last day in the plan period.</t>
  </si>
  <si>
    <t xml:space="preserve">*Note: Service days need to factor in the number of operational days you have each year.  </t>
  </si>
  <si>
    <t>Annual Days</t>
  </si>
  <si>
    <t>FY 18 Personal Supports Rates</t>
  </si>
  <si>
    <t>July 2017</t>
  </si>
  <si>
    <t>August 2017</t>
  </si>
  <si>
    <t>September 2017</t>
  </si>
  <si>
    <t>October 2017</t>
  </si>
  <si>
    <t>November 2017</t>
  </si>
  <si>
    <t>December 2017</t>
  </si>
  <si>
    <t>Service Start Date</t>
  </si>
  <si>
    <t>Service End Date</t>
  </si>
  <si>
    <t>W5793</t>
  </si>
  <si>
    <t>W5795</t>
  </si>
  <si>
    <t>Staffing Ratio
(ex. 1:1)</t>
  </si>
  <si>
    <t>New Unbundled Service</t>
  </si>
  <si>
    <t>Maryland Department of Health</t>
  </si>
  <si>
    <t>Developmental Disabilities Administration</t>
  </si>
  <si>
    <t>FY 2020 COLA</t>
  </si>
  <si>
    <t>FY 2019 COLA</t>
  </si>
  <si>
    <t>Support Services &amp; Prov/Res Add-On $ COLA</t>
  </si>
  <si>
    <t>FY 20 Personal Supports Rates</t>
  </si>
  <si>
    <t>Meaningful Day Services Look-Up Table</t>
  </si>
  <si>
    <t>FY 2018 Provider Component Day Service Add-On $</t>
  </si>
  <si>
    <t>FY 2018 Residential Service Provider Component</t>
  </si>
  <si>
    <t>*This input affects SS services and the provider component</t>
  </si>
  <si>
    <t>Multiplier (C)</t>
  </si>
  <si>
    <t>FY2020 Rate</t>
  </si>
  <si>
    <t>W5620</t>
  </si>
  <si>
    <t>BSS - Behavioral Consultation (Ended)</t>
  </si>
  <si>
    <t>BSS - Behavioral Consultation (FY19)</t>
  </si>
  <si>
    <t>BSS - Behavioral Assessment (Ended)</t>
  </si>
  <si>
    <t>BSS - Brief Support Implementation (Ended)</t>
  </si>
  <si>
    <t>W5739</t>
  </si>
  <si>
    <t>W5738</t>
  </si>
  <si>
    <t>W5737</t>
  </si>
  <si>
    <t>W5736</t>
  </si>
  <si>
    <t>W5707</t>
  </si>
  <si>
    <t>W5706</t>
  </si>
  <si>
    <t>W5787</t>
  </si>
  <si>
    <t>W5786</t>
  </si>
  <si>
    <t>W5794</t>
  </si>
  <si>
    <t>W5792</t>
  </si>
  <si>
    <t>W5819</t>
  </si>
  <si>
    <t>W5799</t>
  </si>
  <si>
    <t>W5798</t>
  </si>
  <si>
    <t>January 2021</t>
  </si>
  <si>
    <t>February 2021</t>
  </si>
  <si>
    <t>March 2021</t>
  </si>
  <si>
    <t>April 2021</t>
  </si>
  <si>
    <t>May 2021</t>
  </si>
  <si>
    <t>June 2021</t>
  </si>
  <si>
    <t xml:space="preserve"> </t>
  </si>
  <si>
    <t>FY 2021 COLA</t>
  </si>
  <si>
    <t>FY2021 Rate</t>
  </si>
  <si>
    <t>FY 21 Personal Supports Rates</t>
  </si>
  <si>
    <t>Health/Medical Level</t>
  </si>
  <si>
    <t>Supervision/ Assistance Level</t>
  </si>
  <si>
    <t>Individual and Family Directed Goods and Services - Recruitment &amp; Advertising</t>
  </si>
  <si>
    <t>FY 22</t>
  </si>
  <si>
    <t>FY22 Rate</t>
  </si>
  <si>
    <t>dda</t>
  </si>
  <si>
    <t>July 2021</t>
  </si>
  <si>
    <t>August 2021</t>
  </si>
  <si>
    <t>September 2021</t>
  </si>
  <si>
    <t>October 2021</t>
  </si>
  <si>
    <t>November 2021</t>
  </si>
  <si>
    <t>December 2021</t>
  </si>
  <si>
    <t>January 2022</t>
  </si>
  <si>
    <t>February 2022</t>
  </si>
  <si>
    <t>March 2022</t>
  </si>
  <si>
    <t>April 2022</t>
  </si>
  <si>
    <t>May 2022</t>
  </si>
  <si>
    <t>June 2022</t>
  </si>
  <si>
    <t>Nursing Support Services</t>
  </si>
  <si>
    <t>ADD ON TOOL</t>
  </si>
  <si>
    <t>FY2022</t>
  </si>
  <si>
    <t>FY 2023</t>
  </si>
  <si>
    <t>FY 23</t>
  </si>
  <si>
    <t>Personal Supports is now estimated through the DSAT in LTSS.</t>
  </si>
  <si>
    <t xml:space="preserve">BSS - Behavioral Consultation </t>
  </si>
  <si>
    <t>kcb, these are hard coded…although the $ changed, the title did not.</t>
  </si>
  <si>
    <t>Waiver Rate Table</t>
  </si>
  <si>
    <t>FY2021</t>
  </si>
  <si>
    <t>FY23</t>
  </si>
  <si>
    <r>
      <rPr>
        <b/>
        <sz val="11"/>
        <color rgb="FF000000"/>
        <rFont val="Calibri"/>
        <family val="2"/>
        <scheme val="minor"/>
      </rPr>
      <t>Directions:</t>
    </r>
    <r>
      <rPr>
        <b/>
        <sz val="11"/>
        <color indexed="8"/>
        <rFont val="Calibri"/>
        <family val="2"/>
        <scheme val="minor"/>
      </rPr>
      <t xml:space="preserve">  Update Eff Dates as necessary…but leave field names as is!</t>
    </r>
  </si>
  <si>
    <t>SELECT A.EFF_DATE
,      A.MTRX_CD
,      A.MTRX_TYPE
,      A.SUPV_LVL
,      A.HLTH_LVL
,      B.REG_FED_REG_CD AS REGION
,      B.ADJ 
,      ROUND(A.MTRX_AMT * B.ADJ,2) AS AMT
FROM MATRIX A, REG_ADJ B
WHERE  A.EFF_DATE IN ( '01-JUL-2021', TO_DATE('01-JUL-2022', 'DD-MON-YYYY') )
AND    A.MTRX_TYPE = B.MAT_MTRX_TYPE
AND    A.EFF_DATE = B.MAT_EFF_DATE
ORDER BY MTRX_TYPE, SUPV_LVL, HLTH_LVL, REGION</t>
  </si>
  <si>
    <t>ADJ</t>
  </si>
  <si>
    <t>AMT</t>
  </si>
  <si>
    <t>D11</t>
  </si>
  <si>
    <t>D12</t>
  </si>
  <si>
    <t>D13</t>
  </si>
  <si>
    <t>D14</t>
  </si>
  <si>
    <t>D15</t>
  </si>
  <si>
    <t>D21</t>
  </si>
  <si>
    <t>D22</t>
  </si>
  <si>
    <t>D23</t>
  </si>
  <si>
    <t>D24</t>
  </si>
  <si>
    <t>D25</t>
  </si>
  <si>
    <t>D31</t>
  </si>
  <si>
    <t>D32</t>
  </si>
  <si>
    <t>D33</t>
  </si>
  <si>
    <t>D34</t>
  </si>
  <si>
    <t>D35</t>
  </si>
  <si>
    <t>D41</t>
  </si>
  <si>
    <t>D42</t>
  </si>
  <si>
    <t>D43</t>
  </si>
  <si>
    <t>D44</t>
  </si>
  <si>
    <t>D45</t>
  </si>
  <si>
    <t>D51</t>
  </si>
  <si>
    <t>D52</t>
  </si>
  <si>
    <t>D53</t>
  </si>
  <si>
    <t>D54</t>
  </si>
  <si>
    <t>D55</t>
  </si>
  <si>
    <t>R11</t>
  </si>
  <si>
    <t>R12</t>
  </si>
  <si>
    <t>R13</t>
  </si>
  <si>
    <t>R14</t>
  </si>
  <si>
    <t>R15</t>
  </si>
  <si>
    <t>R21</t>
  </si>
  <si>
    <t>R22</t>
  </si>
  <si>
    <t>R23</t>
  </si>
  <si>
    <t>R24</t>
  </si>
  <si>
    <t>R25</t>
  </si>
  <si>
    <t>R31</t>
  </si>
  <si>
    <t>R32</t>
  </si>
  <si>
    <t>R33</t>
  </si>
  <si>
    <t>R34</t>
  </si>
  <si>
    <t>R35</t>
  </si>
  <si>
    <t>R41</t>
  </si>
  <si>
    <t>R42</t>
  </si>
  <si>
    <t>R43</t>
  </si>
  <si>
    <t>R44</t>
  </si>
  <si>
    <t>R45</t>
  </si>
  <si>
    <t>R51</t>
  </si>
  <si>
    <t>R52</t>
  </si>
  <si>
    <t>R53</t>
  </si>
  <si>
    <t>R54</t>
  </si>
  <si>
    <t>R55</t>
  </si>
  <si>
    <t>S11</t>
  </si>
  <si>
    <t>S</t>
  </si>
  <si>
    <t>S12</t>
  </si>
  <si>
    <t>S13</t>
  </si>
  <si>
    <t>S14</t>
  </si>
  <si>
    <t>S15</t>
  </si>
  <si>
    <t>S21</t>
  </si>
  <si>
    <t>S22</t>
  </si>
  <si>
    <t>S23</t>
  </si>
  <si>
    <t>S24</t>
  </si>
  <si>
    <t>S25</t>
  </si>
  <si>
    <t>S31</t>
  </si>
  <si>
    <t>S32</t>
  </si>
  <si>
    <t>S33</t>
  </si>
  <si>
    <t>S34</t>
  </si>
  <si>
    <t>S35</t>
  </si>
  <si>
    <t>S41</t>
  </si>
  <si>
    <t>S42</t>
  </si>
  <si>
    <t>S43</t>
  </si>
  <si>
    <t>S44</t>
  </si>
  <si>
    <t>S45</t>
  </si>
  <si>
    <t>S51</t>
  </si>
  <si>
    <t>S52</t>
  </si>
  <si>
    <t>S53</t>
  </si>
  <si>
    <t>S54</t>
  </si>
  <si>
    <t>S55</t>
  </si>
  <si>
    <t>Directions</t>
  </si>
  <si>
    <t>Using FPS SQL statement (see Tab "FPS SQL"), extract rates from PCIS2 and cut 'n paste into tab "FPS SQL Data".</t>
  </si>
  <si>
    <t>Click into any cell in the PivotTable below.  Note the ribbon at the very top of this worksheet.  Click "PivotTable Analyze"…Click "Change Data Source"  (ensure that the range includes ALL of the SQL Data).</t>
  </si>
  <si>
    <t>Right-click into any cell in the PivotTable below…select "Refresh Pivot Table".</t>
  </si>
  <si>
    <t>Now return to tab "Directions".</t>
  </si>
  <si>
    <t>Ref to tab "Budget":</t>
  </si>
  <si>
    <t>CB</t>
  </si>
  <si>
    <t>CL</t>
  </si>
  <si>
    <t>CV</t>
  </si>
  <si>
    <t>DF</t>
  </si>
  <si>
    <t>Sum of AMT</t>
  </si>
  <si>
    <t>Therefore Annl increase calculated and validated as the 8% stated/known increase.</t>
  </si>
  <si>
    <t xml:space="preserve">Directions for FPS (Fee Payment System) </t>
  </si>
  <si>
    <t>SELECT  NAME, 
        CLAIM_CD, 
        DECODE(PROGRAM_CD, 'W01', 'FS', 'W02', 'CS', 'W03', 'CP', PROGRAM_CD ) AS WAIVER,
        PLAN_TYPE, 
        UNIT_TYPE, 
        START_DT,
        END_DT,
        MAX_RATE, 
        CAT, 
        IS_RATE 
FROM    PCIS2.CLAIM_CODES
WHERE   MAX_RATE IS NOT NULL AND IS_RATE = 'Y'
and    pcis2_cd is null
AND     START_DT IN ( '01-JUL-2021', '01-JUL-2022' )
--AND     END_DT IN ( '30-JUN-2022', '30-JUN-2023' )
ORDER   BY NAME, START_DT</t>
  </si>
  <si>
    <t>NAME</t>
  </si>
  <si>
    <t>CLAIM_CD</t>
  </si>
  <si>
    <t>WAIVER</t>
  </si>
  <si>
    <t>PLAN_TYPE</t>
  </si>
  <si>
    <t>UNIT_TYPE</t>
  </si>
  <si>
    <t>START_DT</t>
  </si>
  <si>
    <t>MAX_RATE</t>
  </si>
  <si>
    <t>CAT</t>
  </si>
  <si>
    <t>IS_RATE</t>
  </si>
  <si>
    <t>CP</t>
  </si>
  <si>
    <t>BSS</t>
  </si>
  <si>
    <t>Y</t>
  </si>
  <si>
    <t>BSS - Behavioral Assessment CS Self-Direction</t>
  </si>
  <si>
    <t>CS</t>
  </si>
  <si>
    <t>BSS - Behavioral Assessment CS Traditional</t>
  </si>
  <si>
    <t>BSS - Behavioral Assessment FS Self-Direction</t>
  </si>
  <si>
    <t>FS</t>
  </si>
  <si>
    <t>BSS - Behavioral Assessment FS Traditional</t>
  </si>
  <si>
    <t>BSS - Behavioral Consultation CP Self-Direction</t>
  </si>
  <si>
    <t>BSS - Behavioral Consultation CP Traditional</t>
  </si>
  <si>
    <t>BSS - Behavioral Consultation CS Self-Direction</t>
  </si>
  <si>
    <t>BSS - Behavioral Consultation CS Traditional - Quarter Hour</t>
  </si>
  <si>
    <t>BSS - Behavioral Consultation FS Self-Direction</t>
  </si>
  <si>
    <t>BSS - Behavioral Consultation FS Traditional</t>
  </si>
  <si>
    <t>BSS - Behavioral Plan CS Self-Direction</t>
  </si>
  <si>
    <t>BSS - Behavioral Plan CS Traditional</t>
  </si>
  <si>
    <t>BSS - Behavioral Plan FS Self-Direction</t>
  </si>
  <si>
    <t>BSS - Behavioral Plan FS Traditional</t>
  </si>
  <si>
    <t>BSS - Brief Support Implementation</t>
  </si>
  <si>
    <t>BSS - Brief Support Implementation CS Self-Direction</t>
  </si>
  <si>
    <t>BSS - Brief Support Implementation CS Traditional</t>
  </si>
  <si>
    <t>BSS - Brief Support Implementation FS Self-Direction</t>
  </si>
  <si>
    <t>BSS - Brief Support Implementation FS Traditional</t>
  </si>
  <si>
    <t>HCDS</t>
  </si>
  <si>
    <t>Environmental Assessment CS Self-Direction</t>
  </si>
  <si>
    <t>Environmental Assessment CS Traditional</t>
  </si>
  <si>
    <t>Environmental Assessment FS Self-Direction</t>
  </si>
  <si>
    <t>Environmental Assessment FS Traditional</t>
  </si>
  <si>
    <t>FAM</t>
  </si>
  <si>
    <t>Family and Peer Mentoring Supports CS Self-Direction</t>
  </si>
  <si>
    <t>Family and Peer Mentoring Supports CS Traditional</t>
  </si>
  <si>
    <t>Family and Peer Mentoring Supports FS Self-Direction</t>
  </si>
  <si>
    <t>Family and Peer Mentoring Supports FS Traditional</t>
  </si>
  <si>
    <t>HSS</t>
  </si>
  <si>
    <t>Housing Support Services CS Self-Direction</t>
  </si>
  <si>
    <t>Housing Support Services CS Traditional</t>
  </si>
  <si>
    <t>Housing Support Services FS Self-Direction</t>
  </si>
  <si>
    <t>Housing Support Services FS Traditional</t>
  </si>
  <si>
    <t>Nursing Support Service</t>
  </si>
  <si>
    <t>NS</t>
  </si>
  <si>
    <t>Nursing Support Service CS Self-Direction</t>
  </si>
  <si>
    <t>Nursing Support Service CS Traditional</t>
  </si>
  <si>
    <t>Nursing Support Service FS Self-Direction</t>
  </si>
  <si>
    <t>Nursing Support Service FS Traditional</t>
  </si>
  <si>
    <t>Personal Supports CS Self-Direction</t>
  </si>
  <si>
    <t>PS</t>
  </si>
  <si>
    <t>Personal Supports FS Self-Direction</t>
  </si>
  <si>
    <t>RS</t>
  </si>
  <si>
    <t>Respite Care Services - Day CS Self-Direction</t>
  </si>
  <si>
    <t>Respite Care Services - Day CS Traditional</t>
  </si>
  <si>
    <t>Respite Care Services - Day FS Self-Direction</t>
  </si>
  <si>
    <t>Respite Care Services - Day FS Traditional</t>
  </si>
  <si>
    <t>Respite Care Services - Hour CS Self-Direction</t>
  </si>
  <si>
    <t>Respite Care Services - Hour CS Traditional</t>
  </si>
  <si>
    <t>Respite Care Services - Hour FS Self-Direction</t>
  </si>
  <si>
    <t>Respite Care Services - Hour FS Traditional</t>
  </si>
  <si>
    <t>RES</t>
  </si>
  <si>
    <t>Supported Living CP Traditional</t>
  </si>
  <si>
    <t>Using Waiver SQL statement (see Tab "Waiver SQL"), extract rates from PCIS2 and cut 'n paste into tab "Waiver SQL Data".</t>
  </si>
  <si>
    <t>Sum of MAX_RATE</t>
  </si>
  <si>
    <t>% Delta</t>
  </si>
  <si>
    <t>FY22</t>
  </si>
  <si>
    <t>Per '23 Invoice Template</t>
  </si>
  <si>
    <t xml:space="preserve"> w/covid</t>
  </si>
  <si>
    <t>no diff???</t>
  </si>
  <si>
    <t>Per '22 Invoice Template</t>
  </si>
  <si>
    <t>Steps</t>
  </si>
  <si>
    <t>RESIDENTIAL</t>
  </si>
  <si>
    <t>Provider Component</t>
  </si>
  <si>
    <t>Rate$</t>
  </si>
  <si>
    <t>Supervision Level</t>
  </si>
  <si>
    <t>Row Labels</t>
  </si>
  <si>
    <t>Provider Rate</t>
  </si>
  <si>
    <t>Direct Support$</t>
  </si>
  <si>
    <t>Health level</t>
  </si>
  <si>
    <t>DAY HABILITATION\CLS</t>
  </si>
  <si>
    <t>SUPPORTED EMPLOYMENT\EDC</t>
  </si>
  <si>
    <t>Region1</t>
  </si>
  <si>
    <t>Region2</t>
  </si>
  <si>
    <t>Region3</t>
  </si>
  <si>
    <t>Region4</t>
  </si>
  <si>
    <t>Region5</t>
  </si>
  <si>
    <t>Region6</t>
  </si>
  <si>
    <t>FY22 est</t>
  </si>
  <si>
    <t>Res</t>
  </si>
  <si>
    <t>kcb guess</t>
  </si>
  <si>
    <t>FY2023</t>
  </si>
  <si>
    <t>FYI Trends (calc)</t>
  </si>
  <si>
    <t>CONCATENATE($E$12,$H$12,$D19</t>
  </si>
  <si>
    <t>NOTE, this is the only rate that differs!!!...so which should be used???</t>
  </si>
  <si>
    <t>KCB:  Not NEEDED…therefore hide these columns</t>
  </si>
  <si>
    <t>KCB:  Not NEEDED…therefore hide these columns…</t>
  </si>
  <si>
    <t>Source:  Per Deneice Robinson, Maryland</t>
  </si>
  <si>
    <t>1. Make sure to enter a person's name, plan type (Self-Direction/Traditional), Waiver type (CP/CS/FS/State Only) and county (where the participant lives) into the input table at the top of the "Budget" tab before selecting services. Additionally, please enter scores for relevant matrix-related services that you are requesting (ex. residential and day services) into the appropriate drop-down categories on cells J6, J7, J8, K6, K7 and K8 in the "Budget" tab. "Enter Staffing Ratio for 1:1 and 2:1 only, as applicable." Rates will not populate for services in the table until this criteria is completed. Finally, meaningful day and residential services will require the user to select their own unique county drop-down (where services are provided) to populate a rate.</t>
  </si>
  <si>
    <t>4. Always fill out the "Budget" tab before moving onto the "Add-On Tool" tab (if necessary). The "Add-On Tool" tab relies on information from the "Budget" tab to populate.  Be aware that days in the tables showing day services need to be filled out in accordance with a provider's operational calendar.</t>
  </si>
  <si>
    <t>5. There is conditional formatting throughout the model to help the user avoid input errors. Cells will highlight red if an error has been identified. For example, requesting services in the "Add-On Tool" section outside the timeline inputted in the "Budget" tab would create an error.</t>
  </si>
  <si>
    <t>What is this?...it seems to be the day + Prof…not used</t>
  </si>
  <si>
    <t>Tabs FPS (SQL --&gt; SQL Data --&gt; Pivot Table):  refresh the pull, cut 'n paste results accordingly into Budget columns respectively.  Note, SQL Statements via Casey Cox via Seung Kim.</t>
  </si>
  <si>
    <t>Tabs Waiver (SQL --&gt; SQL Data --&gt; Pivot Table):  refresh the pull…see refreshed pull in WaiverPivot Table and also in Waiver Rate Table... see that the Waiver Rate Table is updated respectively.  Note, SQL Statements via Casey Cox via Seung Kim.</t>
  </si>
  <si>
    <t>FYI, calc</t>
  </si>
  <si>
    <t>Update Tab FY23_PCI2_Rates.locked v3, which is used to update the Provider Component and Add-on Component.  Note, data provided via Deneise Robinson.</t>
  </si>
  <si>
    <r>
      <rPr>
        <b/>
        <sz val="11"/>
        <color theme="1"/>
        <rFont val="Calibri"/>
        <family val="2"/>
        <scheme val="minor"/>
      </rPr>
      <t xml:space="preserve">Note:  </t>
    </r>
    <r>
      <rPr>
        <sz val="11"/>
        <color theme="1"/>
        <rFont val="Calibri"/>
        <family val="2"/>
        <scheme val="minor"/>
      </rPr>
      <t>Not Used</t>
    </r>
  </si>
  <si>
    <r>
      <rPr>
        <b/>
        <sz val="11"/>
        <color theme="1"/>
        <rFont val="Calibri"/>
        <family val="2"/>
        <scheme val="minor"/>
      </rPr>
      <t xml:space="preserve">NOTE: </t>
    </r>
    <r>
      <rPr>
        <sz val="11"/>
        <color theme="1"/>
        <rFont val="Calibri"/>
        <family val="2"/>
        <scheme val="minor"/>
      </rPr>
      <t xml:space="preserve"> the following is just a check 'n balance…The prior version used FY18 rates and applied Cola (but that formula was a bit shy of bumping it up the multiple years), so the Cola formula was replaced with actual Provider Rates (see Budget tab X28).  Nonetheless, the following suggests provider rates of $46/$84 for FY22 and that ties nicely to the rates observed in the Provider Component Table above (see cell H3)...of $45/$82...so that's comfirming for past use, but no longer using this COLA method from this point forward.</t>
    </r>
  </si>
  <si>
    <t>Note:  therefore, the Provider Component est for FY22 seems within range of this FY22 est as well.  Day @ +/- $45-$46 and res at $82-84</t>
  </si>
  <si>
    <t>Note, "S" is not used.  Note, the S rates are the exact same as the D rates.  So the formulas in the Budget sheet reference the Day services, for both Day and Employmnet.</t>
  </si>
  <si>
    <t>Waiver SQL</t>
  </si>
  <si>
    <t>FPS (Fee Payment System)</t>
  </si>
  <si>
    <r>
      <rPr>
        <b/>
        <sz val="11"/>
        <color theme="1"/>
        <rFont val="Calibri"/>
        <family val="2"/>
        <scheme val="minor"/>
      </rPr>
      <t>Note</t>
    </r>
    <r>
      <rPr>
        <sz val="11"/>
        <color theme="1"/>
        <rFont val="Calibri"/>
        <family val="2"/>
        <scheme val="minor"/>
      </rPr>
      <t>:  the light pink highlights in this tab are used in the Budget Sheet!!!</t>
    </r>
  </si>
  <si>
    <r>
      <rPr>
        <b/>
        <sz val="10"/>
        <color rgb="FF006100"/>
        <rFont val="Arial (body)"/>
      </rPr>
      <t>Source:</t>
    </r>
    <r>
      <rPr>
        <sz val="10"/>
        <color rgb="FF006100"/>
        <rFont val="Arial (body)"/>
        <family val="2"/>
      </rPr>
      <t xml:space="preserve">  Uses ''FY23_PCI2_Rates.locked v3"</t>
    </r>
  </si>
  <si>
    <t>Source:  Uses 'FPS Pivot Table</t>
  </si>
  <si>
    <t>What is this?...it seems to be the day + Prof…not seemingly used</t>
  </si>
  <si>
    <r>
      <rPr>
        <b/>
        <sz val="10"/>
        <color rgb="FF006100"/>
        <rFont val="Arial (body)"/>
      </rPr>
      <t>Source</t>
    </r>
    <r>
      <rPr>
        <sz val="10"/>
        <color rgb="FF006100"/>
        <rFont val="Arial (body)"/>
        <family val="2"/>
      </rPr>
      <t>:  Uses 'FPS Pivot Table</t>
    </r>
  </si>
  <si>
    <t>What is this?...it seems to be the day + Prof…seemingly not used</t>
  </si>
  <si>
    <r>
      <rPr>
        <b/>
        <sz val="10"/>
        <color rgb="FF006100"/>
        <rFont val="Arial (body)"/>
      </rPr>
      <t>Source:</t>
    </r>
    <r>
      <rPr>
        <sz val="10"/>
        <color rgb="FF006100"/>
        <rFont val="Arial (body)"/>
        <family val="2"/>
      </rPr>
      <t xml:space="preserve">  Uses 'FPS Pivot Table</t>
    </r>
  </si>
  <si>
    <t>Next FY Start Date</t>
  </si>
  <si>
    <t>Days Left in Current FY</t>
  </si>
  <si>
    <t>Days in Next FY</t>
  </si>
  <si>
    <r>
      <t xml:space="preserve">PCP Meeting Date </t>
    </r>
    <r>
      <rPr>
        <i/>
        <sz val="11"/>
        <color theme="1"/>
        <rFont val="Calibri"/>
        <family val="2"/>
        <scheme val="minor"/>
      </rPr>
      <t>(ex. 7/15/2022)</t>
    </r>
  </si>
  <si>
    <r>
      <t xml:space="preserve">Plan Effective Date </t>
    </r>
    <r>
      <rPr>
        <i/>
        <sz val="11"/>
        <color theme="1"/>
        <rFont val="Calibri"/>
        <family val="2"/>
        <scheme val="minor"/>
      </rPr>
      <t>(ex. 8/15/2022)</t>
    </r>
  </si>
  <si>
    <r>
      <t>Next Annual PCP or IP Date</t>
    </r>
    <r>
      <rPr>
        <i/>
        <sz val="11"/>
        <color theme="1"/>
        <rFont val="Calibri"/>
        <family val="2"/>
        <scheme val="minor"/>
      </rPr>
      <t xml:space="preserve"> (ex. 8/15/2023)</t>
    </r>
  </si>
  <si>
    <r>
      <rPr>
        <b/>
        <sz val="11"/>
        <rFont val="Calibri"/>
        <family val="2"/>
        <scheme val="minor"/>
      </rPr>
      <t xml:space="preserve">NOTE: </t>
    </r>
    <r>
      <rPr>
        <sz val="11"/>
        <rFont val="Calibri"/>
        <family val="2"/>
        <scheme val="minor"/>
      </rPr>
      <t xml:space="preserve"> Red highlights signify may not be needed, but becareful NOT to delete just in case.</t>
    </r>
  </si>
  <si>
    <r>
      <rPr>
        <b/>
        <sz val="11"/>
        <rFont val="Calibri"/>
        <family val="2"/>
        <scheme val="minor"/>
      </rPr>
      <t xml:space="preserve">NOTE: </t>
    </r>
    <r>
      <rPr>
        <sz val="11"/>
        <rFont val="Calibri"/>
        <family val="2"/>
        <scheme val="minor"/>
      </rPr>
      <t>Hide from this point over</t>
    </r>
  </si>
  <si>
    <r>
      <rPr>
        <b/>
        <sz val="11"/>
        <color rgb="FF000000"/>
        <rFont val="Calibri"/>
        <family val="2"/>
        <scheme val="minor"/>
      </rPr>
      <t>NOTE:</t>
    </r>
    <r>
      <rPr>
        <sz val="11"/>
        <color indexed="8"/>
        <rFont val="Calibri"/>
        <family val="2"/>
        <scheme val="minor"/>
      </rPr>
      <t xml:space="preserve">  this same table is located in the Tab "Waiver Rate Table"…see Columns U-Z…replace "that" table with this one.  To do so:  ^C (copy) A11:F73 (at least! Or even F80+) and paste into Tab "Waiver Rate Table" U10…be exact with starting point (sum of max rate)!!</t>
    </r>
  </si>
  <si>
    <r>
      <rPr>
        <b/>
        <sz val="11"/>
        <color rgb="FF000000"/>
        <rFont val="Calibri"/>
        <family val="2"/>
        <scheme val="minor"/>
      </rPr>
      <t>NOTE:</t>
    </r>
    <r>
      <rPr>
        <sz val="11"/>
        <color theme="1"/>
        <rFont val="Calibri"/>
        <family val="2"/>
        <scheme val="minor"/>
      </rPr>
      <t xml:space="preserve">  the following results will update tab Budget …Day: columns CG and CQ; and Residential (columns DA and DK).  See </t>
    </r>
    <r>
      <rPr>
        <b/>
        <sz val="11"/>
        <color rgb="FFFF0000"/>
        <rFont val="Calibri"/>
        <family val="2"/>
        <scheme val="minor"/>
      </rPr>
      <t xml:space="preserve">red </t>
    </r>
    <r>
      <rPr>
        <sz val="11"/>
        <color theme="1"/>
        <rFont val="Calibri"/>
        <family val="2"/>
        <scheme val="minor"/>
      </rPr>
      <t>Note below regarding Supportive Employment.</t>
    </r>
  </si>
  <si>
    <r>
      <rPr>
        <b/>
        <sz val="11"/>
        <color rgb="FF000000"/>
        <rFont val="Calibri"/>
        <family val="2"/>
        <scheme val="minor"/>
      </rPr>
      <t xml:space="preserve">WARNING: </t>
    </r>
    <r>
      <rPr>
        <sz val="11"/>
        <color indexed="8"/>
        <rFont val="Calibri"/>
        <family val="2"/>
        <scheme val="minor"/>
      </rPr>
      <t xml:space="preserve"> Visually confirm that column ABC in this tab (Region, Supv, Hlth) matches EXACTLY the rank order of Region, Supv, Hlth columns in the Budget tab, ie. see columns CF, CD, CE for SFY1, and CP, CN, CO, for SFY2!!!  Note, tab "Budget" links to this tab, so sort and reorder THIS pivot table below if necessary...do </t>
    </r>
    <r>
      <rPr>
        <b/>
        <sz val="11"/>
        <color rgb="FFFF0000"/>
        <rFont val="Calibri"/>
        <family val="2"/>
        <scheme val="minor"/>
      </rPr>
      <t>NOT</t>
    </r>
    <r>
      <rPr>
        <sz val="11"/>
        <color indexed="8"/>
        <rFont val="Calibri"/>
        <family val="2"/>
        <scheme val="minor"/>
      </rPr>
      <t xml:space="preserve"> alter the tab Budget references!!!</t>
    </r>
  </si>
  <si>
    <t>Directions for Updating Professional/Direct Support Rates</t>
  </si>
  <si>
    <t>Deneice Robinson provided the following Pivot Tables of rates.</t>
  </si>
  <si>
    <t>Note, only FY23 rates were provided, since this effort was to update the FY22 rates already inherent in the Budget table.   However, it was determined that the Provider Component inherent in the Budget table was based on SFY18 + COLA.  As such, the following estimates a better proxy of FY22, based on the mid-point of FY21 and FY23, and thus utilized these FY22 and FY23 rates in the Budget Table accordingly.</t>
  </si>
  <si>
    <r>
      <rPr>
        <b/>
        <sz val="11"/>
        <color theme="1"/>
        <rFont val="Calibri"/>
        <family val="2"/>
        <scheme val="minor"/>
      </rPr>
      <t xml:space="preserve">Note: </t>
    </r>
    <r>
      <rPr>
        <sz val="11"/>
        <color theme="1"/>
        <rFont val="Calibri"/>
        <family val="2"/>
        <scheme val="minor"/>
      </rPr>
      <t xml:space="preserve"> Day and Support Empl have the same rates...likewise, awake and direct have the same rates…so the Budget Table uses the highlighted-pink as the source for both.  Professional Supports are in LTSS.  So "non-highlighted" rates are </t>
    </r>
    <r>
      <rPr>
        <u/>
        <sz val="11"/>
        <color theme="1"/>
        <rFont val="Calibri"/>
        <family val="2"/>
        <scheme val="minor"/>
      </rPr>
      <t>not</t>
    </r>
    <r>
      <rPr>
        <sz val="11"/>
        <color theme="1"/>
        <rFont val="Calibri"/>
        <family val="2"/>
        <scheme val="minor"/>
      </rPr>
      <t xml:space="preserve"> utilized .</t>
    </r>
  </si>
  <si>
    <r>
      <rPr>
        <b/>
        <sz val="11"/>
        <color rgb="FF000000"/>
        <rFont val="Calibri"/>
        <family val="2"/>
        <scheme val="minor"/>
      </rPr>
      <t xml:space="preserve">To Update, </t>
    </r>
    <r>
      <rPr>
        <sz val="11"/>
        <color indexed="8"/>
        <rFont val="Calibri"/>
        <family val="2"/>
        <scheme val="minor"/>
      </rPr>
      <t>Cut 'n Paste this table from the Tab "WaiverPivot Table"…it is used as a lookup in the table to the left….columns 15 and 16.</t>
    </r>
  </si>
  <si>
    <r>
      <t xml:space="preserve">DO </t>
    </r>
    <r>
      <rPr>
        <b/>
        <u/>
        <sz val="11"/>
        <color rgb="FFFF0000"/>
        <rFont val="Calibri"/>
        <family val="2"/>
        <scheme val="minor"/>
      </rPr>
      <t>NOT</t>
    </r>
    <r>
      <rPr>
        <b/>
        <sz val="11"/>
        <color theme="1"/>
        <rFont val="Calibri"/>
        <family val="2"/>
        <scheme val="minor"/>
      </rPr>
      <t xml:space="preserve"> DELETE HIDDEN CELL INFO! IT IS USED!!!!</t>
    </r>
  </si>
  <si>
    <t>Update the Budget Years in Tab "Budget".</t>
  </si>
  <si>
    <t xml:space="preserve">3. Cells in the model will always highlight gray if they need to be filled out. For example, if "Assistive Technology and Services" is selected, only the cell under the "UPL/Total" column will fill gray, since this service is an upper pay limit and doesn't require a certain number of units to be inputted.  "Note: UPL refers to Upper Pay Limit services." </t>
  </si>
  <si>
    <t>x Region</t>
  </si>
  <si>
    <t>Day/CLS</t>
  </si>
  <si>
    <t>SuppEmpl</t>
  </si>
  <si>
    <t>Awake</t>
  </si>
  <si>
    <t>Direct</t>
  </si>
  <si>
    <t>Prof</t>
  </si>
  <si>
    <t>they get this increase if covid</t>
  </si>
  <si>
    <t xml:space="preserve">FYI, FY22…confirming these rates as '22 </t>
  </si>
  <si>
    <t>FY22…see tab Budget DU and EB</t>
  </si>
  <si>
    <t>Please fill out completely to be able to use tables below effectively.</t>
  </si>
  <si>
    <t>Note, these are the FYs that the Plan Effective Date (start) and Plan End (end) are in.</t>
  </si>
  <si>
    <t>1st FY Days</t>
  </si>
  <si>
    <t>2nd FY Days</t>
  </si>
  <si>
    <t>FYI, needed for Leap Year calc</t>
  </si>
  <si>
    <t>1st FY</t>
  </si>
  <si>
    <t>2nd FY</t>
  </si>
  <si>
    <t>weeks</t>
  </si>
  <si>
    <t>FY24</t>
  </si>
  <si>
    <t>FY2024</t>
  </si>
  <si>
    <t>FY24 Rate Increase Assumption</t>
  </si>
  <si>
    <t>FY 2024</t>
  </si>
  <si>
    <r>
      <t xml:space="preserve">Plan End Date </t>
    </r>
    <r>
      <rPr>
        <i/>
        <sz val="11"/>
        <color theme="1"/>
        <rFont val="Calibri"/>
        <family val="2"/>
        <scheme val="minor"/>
      </rPr>
      <t>(must be last day in plan period, &lt;= 6/30/24)</t>
    </r>
  </si>
  <si>
    <r>
      <rPr>
        <b/>
        <i/>
        <sz val="10"/>
        <rFont val="Calibri Light"/>
        <family val="2"/>
        <scheme val="major"/>
      </rPr>
      <t xml:space="preserve"> Updated:</t>
    </r>
    <r>
      <rPr>
        <i/>
        <sz val="10"/>
        <rFont val="Calibri Light"/>
        <family val="2"/>
        <scheme val="major"/>
      </rPr>
      <t xml:space="preserve"> 8/2/2022</t>
    </r>
  </si>
  <si>
    <t>days</t>
  </si>
  <si>
    <r>
      <rPr>
        <b/>
        <u/>
        <sz val="14"/>
        <color theme="1"/>
        <rFont val="Calibri"/>
        <family val="2"/>
        <scheme val="minor"/>
      </rPr>
      <t>The Cost Detail Tool continues to support service requests as a result of the COVID-19 State of Emergency...until September 30,2022.  It covers all services under the Community Pathways Waiver, Family Supports Waiver, Community Pathways Waiver and State Funded Services.</t>
    </r>
    <r>
      <rPr>
        <b/>
        <sz val="11"/>
        <color theme="1"/>
        <rFont val="Calibri"/>
        <family val="2"/>
        <scheme val="minor"/>
      </rPr>
      <t xml:space="preserve">  The DDA Waiver Cost Detail tool replaced the separate cost details spreadsheets that were previously used in the past.  Additionally, this tool is a "one size fits all" to be used for participants in all programs and people who are in traditional services. One significant point of note regarding the FY 2023 - FY 2024 cost detail tool is that since Personal Supports are now authorized and paid in LTSS, the revised cost detail sheet for FY 2023 and FY 2024 no longer includes the section on Personal Supports.</t>
    </r>
    <r>
      <rPr>
        <b/>
        <u/>
        <sz val="11"/>
        <color theme="1"/>
        <rFont val="Calibri"/>
        <family val="2"/>
        <scheme val="minor"/>
      </rPr>
      <t xml:space="preserve"> </t>
    </r>
    <r>
      <rPr>
        <b/>
        <sz val="11"/>
        <color theme="1"/>
        <rFont val="Calibri"/>
        <family val="2"/>
        <scheme val="minor"/>
      </rPr>
      <t xml:space="preserve"> Below are some additional notes on how to use the tool:</t>
    </r>
  </si>
  <si>
    <t>The DDA has revised the Cost Detail Tool to Version 3b to reflect FY23-FY24 w/ 4%.</t>
  </si>
  <si>
    <r>
      <rPr>
        <b/>
        <u/>
        <sz val="11"/>
        <color theme="4"/>
        <rFont val="Calibri"/>
        <family val="2"/>
        <scheme val="minor"/>
      </rPr>
      <t>Note</t>
    </r>
    <r>
      <rPr>
        <sz val="11"/>
        <color theme="1"/>
        <rFont val="Calibri"/>
        <family val="2"/>
        <scheme val="minor"/>
      </rPr>
      <t xml:space="preserve">, FY24…considers </t>
    </r>
    <r>
      <rPr>
        <b/>
        <u/>
        <sz val="11"/>
        <color theme="4"/>
        <rFont val="Calibri"/>
        <family val="2"/>
        <scheme val="minor"/>
      </rPr>
      <t>Leap Year</t>
    </r>
    <r>
      <rPr>
        <sz val="11"/>
        <color theme="1"/>
        <rFont val="Calibri"/>
        <family val="2"/>
        <scheme val="minor"/>
      </rPr>
      <t xml:space="preserve"> days in calculations that estimate a daily rate.  See Add-On Tool tab…columns A-C…and review Formulas/Trace Dependents</t>
    </r>
  </si>
  <si>
    <t>BSS - Behavioral Assessment CP Traditional</t>
  </si>
  <si>
    <t>BSS - Behavioral Plan CP Traditional</t>
  </si>
  <si>
    <t>Community Development Services CS Self-Direction</t>
  </si>
  <si>
    <t>CDS</t>
  </si>
  <si>
    <t>Employment Discovery and Customization CS Self-Direction</t>
  </si>
  <si>
    <t>VOC</t>
  </si>
  <si>
    <t>Respite Care Services - Day CP Traditional</t>
  </si>
  <si>
    <t>Respite Care Services - Hour CP Self-Direction</t>
  </si>
  <si>
    <t>Respite Care Services - Hour CP Traditional</t>
  </si>
  <si>
    <t>Supported Employment CS Self-Direction</t>
  </si>
  <si>
    <t>SERVICE</t>
  </si>
  <si>
    <t>Sum of Rate$</t>
  </si>
  <si>
    <t>Sum of Provider Rate2</t>
  </si>
  <si>
    <t>Direct Support</t>
  </si>
  <si>
    <t>Professional Support</t>
  </si>
  <si>
    <t>Type</t>
  </si>
  <si>
    <t>Type_Name</t>
  </si>
  <si>
    <t>Prepared by Deneice Robinson</t>
  </si>
  <si>
    <t>Awake Overnight</t>
  </si>
  <si>
    <t xml:space="preserve"> Professional  Support</t>
  </si>
  <si>
    <t>Awake  Overnight</t>
  </si>
  <si>
    <t>Add-on FY24</t>
  </si>
  <si>
    <t>FY24 Addon Table</t>
  </si>
  <si>
    <t>Did not make changes to this section. deneice robinson</t>
  </si>
  <si>
    <t>FY23 midpt</t>
  </si>
  <si>
    <t>1/22-6/22 *</t>
  </si>
  <si>
    <t>1/22-6/22 *: FY2022 FPS Rates Tables (Effective 1/1/2022)</t>
  </si>
  <si>
    <t>This Table Added by D.Robinson</t>
  </si>
  <si>
    <t>Cost Detail Tool FY24-FY25 w/ 4%</t>
  </si>
  <si>
    <t>FY 2025</t>
  </si>
  <si>
    <t>FY24 Rate</t>
  </si>
  <si>
    <t>FY25</t>
  </si>
  <si>
    <t>(blank)</t>
  </si>
  <si>
    <t>FY2025 Est w Trend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</si>
</sst>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_);_(&quot;$&quot;* \(#,##0.0\);_(&quot;$&quot;* &quot;-&quot;??_);_(@_)"/>
    <numFmt numFmtId="165" formatCode="_(&quot;$&quot;* #,##0_);_(&quot;$&quot;* \(#,##0\);_(&quot;$&quot;* &quot;-&quot;??_);_(@_)"/>
    <numFmt numFmtId="166" formatCode="0.0%"/>
    <numFmt numFmtId="167" formatCode="&quot;$&quot;#,##0.00"/>
    <numFmt numFmtId="168" formatCode="_(* #,##0.0_);_(* \(#,##0.0\);_(* &quot;-&quot;?_);_(@_)"/>
    <numFmt numFmtId="169" formatCode="0.000"/>
    <numFmt numFmtId="170" formatCode="_(&quot;$&quot;* #,##0.00_);_(&quot;$&quot;* \(#,##0.00\);_(&quot;$&quot;* &quot;-&quot;_);_(@_)"/>
    <numFmt numFmtId="171" formatCode="m/d/yy;@"/>
    <numFmt numFmtId="172" formatCode="_(* #,##0_);_(* \(#,##0\);_(* &quot;-&quot;??_);_(@_)"/>
    <numFmt numFmtId="173" formatCode="000\-00\-0000"/>
    <numFmt numFmtId="174" formatCode="_(&quot;$&quot;* #,##0.000000_);_(&quot;$&quot;* \(#,##0.000000\);_(&quot;$&quot;* &quot;-&quot;??_);_(@_)"/>
    <numFmt numFmtId="175" formatCode="_(&quot;$&quot;* #,##0.000_);_(&quot;$&quot;* \(#,##0.000\);_(&quot;$&quot;* &quot;-&quot;??_);_(@_)"/>
    <numFmt numFmtId="176" formatCode="_(&quot;$&quot;* #,##0.0000_);_(&quot;$&quot;* \(#,##0.0000\);_(&quot;$&quot;* &quot;-&quot;??_);_(@_)"/>
    <numFmt numFmtId="177" formatCode="_(* #,##0.000_);_(* \(#,##0.000\);_(* &quot;-&quot;??_);_(@_)"/>
  </numFmts>
  <fonts count="67">
    <font>
      <sz val="11"/>
      <color theme="1"/>
      <name val="Calibri"/>
      <family val="2"/>
      <scheme val="minor"/>
    </font>
    <font>
      <b/>
      <sz val="11"/>
      <color theme="3"/>
      <name val="Calibri"/>
      <family val="2"/>
      <scheme val="minor"/>
    </font>
    <font>
      <b/>
      <sz val="11"/>
      <color theme="1"/>
      <name val="Calibri"/>
      <family val="2"/>
      <scheme val="minor"/>
    </font>
    <font>
      <b/>
      <sz val="18"/>
      <color theme="3"/>
      <name val="Calibri Light"/>
      <family val="2"/>
      <scheme val="major"/>
    </font>
    <font>
      <sz val="12"/>
      <name val="Arial"/>
      <family val="2"/>
    </font>
    <font>
      <b/>
      <sz val="12"/>
      <color theme="1"/>
      <name val="Calibri"/>
      <family val="2"/>
      <scheme val="minor"/>
    </font>
    <font>
      <sz val="11"/>
      <color indexed="8"/>
      <name val="Calibri"/>
      <family val="2"/>
      <scheme val="minor"/>
    </font>
    <font>
      <sz val="10"/>
      <color indexed="8"/>
      <name val="Calibri Light"/>
      <family val="2"/>
      <scheme val="major"/>
    </font>
    <font>
      <sz val="10"/>
      <name val="Calibri Light"/>
      <family val="2"/>
      <scheme val="major"/>
    </font>
    <font>
      <sz val="10"/>
      <color indexed="8"/>
      <name val="Calibri"/>
      <family val="2"/>
      <scheme val="minor"/>
    </font>
    <font>
      <sz val="10"/>
      <color indexed="8"/>
      <name val="Arial"/>
      <family val="2"/>
    </font>
    <font>
      <sz val="10"/>
      <name val="Arial"/>
      <family val="2"/>
    </font>
    <font>
      <b/>
      <sz val="10"/>
      <color indexed="8"/>
      <name val="Calibri Light"/>
      <family val="2"/>
      <scheme val="major"/>
    </font>
    <font>
      <b/>
      <sz val="10"/>
      <color indexed="8"/>
      <name val="Calibri"/>
      <family val="2"/>
      <scheme val="minor"/>
    </font>
    <font>
      <b/>
      <sz val="10"/>
      <color indexed="8"/>
      <name val="Arial"/>
      <family val="2"/>
    </font>
    <font>
      <sz val="12"/>
      <color theme="1"/>
      <name val="Calibri"/>
      <family val="2"/>
      <scheme val="minor"/>
    </font>
    <font>
      <sz val="10"/>
      <color theme="1"/>
      <name val="Calibri"/>
      <family val="2"/>
      <scheme val="minor"/>
    </font>
    <font>
      <b/>
      <sz val="11"/>
      <color theme="0"/>
      <name val="Calibri"/>
      <family val="2"/>
      <scheme val="minor"/>
    </font>
    <font>
      <sz val="11"/>
      <color theme="1"/>
      <name val="Calibri"/>
      <family val="2"/>
      <scheme val="minor"/>
    </font>
    <font>
      <b/>
      <sz val="14"/>
      <color theme="1"/>
      <name val="Calibri"/>
      <family val="2"/>
      <scheme val="minor"/>
    </font>
    <font>
      <b/>
      <sz val="12"/>
      <color theme="0"/>
      <name val="Calibri"/>
      <family val="2"/>
      <scheme val="minor"/>
    </font>
    <font>
      <i/>
      <sz val="9"/>
      <color theme="1"/>
      <name val="Calibri"/>
      <family val="2"/>
      <scheme val="minor"/>
    </font>
    <font>
      <sz val="11"/>
      <color theme="0"/>
      <name val="Calibri"/>
      <family val="2"/>
      <scheme val="minor"/>
    </font>
    <font>
      <i/>
      <sz val="11"/>
      <color theme="1"/>
      <name val="Calibri"/>
      <family val="2"/>
      <scheme val="minor"/>
    </font>
    <font>
      <b/>
      <sz val="10"/>
      <color theme="0"/>
      <name val="Calibri"/>
      <family val="2"/>
      <scheme val="minor"/>
    </font>
    <font>
      <b/>
      <sz val="10"/>
      <color theme="1"/>
      <name val="Calibri"/>
      <family val="2"/>
      <scheme val="minor"/>
    </font>
    <font>
      <i/>
      <sz val="10"/>
      <color theme="1"/>
      <name val="Calibri"/>
      <family val="2"/>
      <scheme val="minor"/>
    </font>
    <font>
      <sz val="11"/>
      <name val="Calibri"/>
      <family val="2"/>
      <scheme val="minor"/>
    </font>
    <font>
      <b/>
      <sz val="11"/>
      <name val="Calibri"/>
      <family val="2"/>
      <scheme val="minor"/>
    </font>
    <font>
      <sz val="10"/>
      <name val="Calibri"/>
      <family val="2"/>
      <scheme val="minor"/>
    </font>
    <font>
      <i/>
      <sz val="8"/>
      <color theme="1"/>
      <name val="Calibri"/>
      <family val="2"/>
      <scheme val="minor"/>
    </font>
    <font>
      <sz val="10"/>
      <color theme="0"/>
      <name val="Calibri"/>
      <family val="2"/>
      <scheme val="minor"/>
    </font>
    <font>
      <b/>
      <sz val="11"/>
      <color rgb="FFFF0000"/>
      <name val="Calibri"/>
      <family val="2"/>
      <scheme val="minor"/>
    </font>
    <font>
      <sz val="11"/>
      <color rgb="FFFF0000"/>
      <name val="Calibri"/>
      <family val="2"/>
      <scheme val="minor"/>
    </font>
    <font>
      <b/>
      <sz val="10"/>
      <name val="Calibri"/>
      <family val="2"/>
      <scheme val="minor"/>
    </font>
    <font>
      <i/>
      <sz val="10"/>
      <name val="Calibri"/>
      <family val="2"/>
      <scheme val="minor"/>
    </font>
    <font>
      <sz val="10"/>
      <color rgb="FFFF0000"/>
      <name val="Calibri Light"/>
      <family val="2"/>
      <scheme val="major"/>
    </font>
    <font>
      <b/>
      <sz val="18"/>
      <color theme="0"/>
      <name val="Calibri Light"/>
      <family val="2"/>
      <scheme val="major"/>
    </font>
    <font>
      <b/>
      <sz val="14"/>
      <color theme="0"/>
      <name val="Calibri"/>
      <family val="2"/>
      <scheme val="minor"/>
    </font>
    <font>
      <b/>
      <u/>
      <sz val="14"/>
      <color theme="1"/>
      <name val="Calibri"/>
      <family val="2"/>
      <scheme val="minor"/>
    </font>
    <font>
      <b/>
      <sz val="20"/>
      <color theme="0"/>
      <name val="Calibri"/>
      <family val="2"/>
      <scheme val="minor"/>
    </font>
    <font>
      <sz val="20"/>
      <color theme="0"/>
      <name val="Calibri"/>
      <family val="2"/>
      <scheme val="minor"/>
    </font>
    <font>
      <b/>
      <u/>
      <sz val="11"/>
      <color theme="1"/>
      <name val="Calibri"/>
      <family val="2"/>
      <scheme val="minor"/>
    </font>
    <font>
      <b/>
      <sz val="11"/>
      <name val="Dialog"/>
    </font>
    <font>
      <sz val="10"/>
      <color rgb="FF006100"/>
      <name val="Arial (body)"/>
      <family val="2"/>
    </font>
    <font>
      <b/>
      <sz val="10"/>
      <color rgb="FFFF0000"/>
      <name val="Calibri"/>
      <family val="2"/>
      <scheme val="minor"/>
    </font>
    <font>
      <b/>
      <u/>
      <sz val="11"/>
      <color rgb="FFFF0000"/>
      <name val="Calibri"/>
      <family val="2"/>
      <scheme val="minor"/>
    </font>
    <font>
      <b/>
      <sz val="11"/>
      <color indexed="8"/>
      <name val="Calibri"/>
      <family val="2"/>
      <scheme val="minor"/>
    </font>
    <font>
      <b/>
      <sz val="11"/>
      <color rgb="FF000000"/>
      <name val="Calibri"/>
      <family val="2"/>
      <scheme val="minor"/>
    </font>
    <font>
      <sz val="11"/>
      <name val="Dialog"/>
    </font>
    <font>
      <b/>
      <u/>
      <sz val="11"/>
      <color indexed="8"/>
      <name val="Calibri"/>
      <family val="2"/>
      <scheme val="minor"/>
    </font>
    <font>
      <b/>
      <sz val="9"/>
      <color indexed="81"/>
      <name val="Tahoma"/>
      <family val="2"/>
    </font>
    <font>
      <sz val="9"/>
      <color indexed="81"/>
      <name val="Tahoma"/>
      <family val="2"/>
    </font>
    <font>
      <sz val="10"/>
      <color theme="0"/>
      <name val="Arial (body)"/>
      <family val="2"/>
    </font>
    <font>
      <b/>
      <sz val="10"/>
      <color rgb="FF006100"/>
      <name val="Arial (body)"/>
    </font>
    <font>
      <sz val="10"/>
      <color rgb="FF006100"/>
      <name val="Arial (body)"/>
    </font>
    <font>
      <u/>
      <sz val="11"/>
      <color theme="1"/>
      <name val="Calibri"/>
      <family val="2"/>
      <scheme val="minor"/>
    </font>
    <font>
      <b/>
      <u/>
      <sz val="9"/>
      <color indexed="81"/>
      <name val="Tahoma"/>
      <family val="2"/>
    </font>
    <font>
      <i/>
      <sz val="10"/>
      <name val="Calibri Light"/>
      <family val="2"/>
      <scheme val="major"/>
    </font>
    <font>
      <b/>
      <i/>
      <sz val="10"/>
      <name val="Calibri Light"/>
      <family val="2"/>
      <scheme val="major"/>
    </font>
    <font>
      <i/>
      <sz val="11"/>
      <color theme="0"/>
      <name val="Calibri"/>
      <family val="2"/>
      <scheme val="minor"/>
    </font>
    <font>
      <b/>
      <u/>
      <sz val="11"/>
      <color theme="4"/>
      <name val="Calibri"/>
      <family val="2"/>
      <scheme val="minor"/>
    </font>
    <font>
      <sz val="22"/>
      <color theme="1"/>
      <name val="Calibri"/>
      <family val="2"/>
      <scheme val="minor"/>
    </font>
    <font>
      <b/>
      <sz val="20"/>
      <color rgb="FF006100"/>
      <name val="Arial (body)"/>
    </font>
    <font>
      <sz val="20"/>
      <color rgb="FF006100"/>
      <name val="Arial (body)"/>
      <family val="2"/>
    </font>
    <font>
      <sz val="14"/>
      <color rgb="FF006100"/>
      <name val="Arial (body)"/>
      <family val="2"/>
    </font>
    <font>
      <b/>
      <sz val="12"/>
      <color rgb="FFCCFFCC"/>
      <name val="Calibri"/>
      <family val="2"/>
      <scheme val="minor"/>
    </font>
  </fonts>
  <fills count="29">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rgb="FF00B05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theme="9"/>
        <bgColor indexed="64"/>
      </patternFill>
    </fill>
    <fill>
      <patternFill patternType="solid">
        <fgColor theme="4" tint="0.59999389629810485"/>
        <bgColor indexed="64"/>
      </patternFill>
    </fill>
    <fill>
      <patternFill patternType="solid">
        <fgColor rgb="FFC6EFCE"/>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FFFF99"/>
        <bgColor indexed="64"/>
      </patternFill>
    </fill>
    <fill>
      <patternFill patternType="solid">
        <fgColor rgb="FFFFCCFF"/>
        <bgColor indexed="64"/>
      </patternFill>
    </fill>
    <fill>
      <patternFill patternType="solid">
        <fgColor rgb="FFFF00FF"/>
        <bgColor indexed="64"/>
      </patternFill>
    </fill>
    <fill>
      <patternFill patternType="solid">
        <fgColor theme="9" tint="0.79998168889431442"/>
        <bgColor theme="4" tint="0.79998168889431442"/>
      </patternFill>
    </fill>
    <fill>
      <patternFill patternType="solid">
        <fgColor theme="7" tint="0.79998168889431442"/>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0" tint="-0.14996795556505021"/>
        <bgColor indexed="64"/>
      </patternFill>
    </fill>
  </fills>
  <borders count="69">
    <border>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theme="1"/>
      </left>
      <right style="thin">
        <color auto="1"/>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top/>
      <bottom style="thin">
        <color theme="4" tint="0.39997558519241921"/>
      </bottom>
      <diagonal/>
    </border>
    <border>
      <left/>
      <right/>
      <top style="thin">
        <color indexed="64"/>
      </top>
      <bottom/>
      <diagonal/>
    </border>
    <border>
      <left/>
      <right style="thin">
        <color indexed="64"/>
      </right>
      <top style="thin">
        <color indexed="64"/>
      </top>
      <bottom/>
      <diagonal/>
    </border>
  </borders>
  <cellStyleXfs count="9">
    <xf numFmtId="0" fontId="0" fillId="0" borderId="0"/>
    <xf numFmtId="0" fontId="3" fillId="0" borderId="0" applyNumberFormat="0" applyFill="0" applyBorder="0" applyAlignment="0" applyProtection="0"/>
    <xf numFmtId="0" fontId="1" fillId="0" borderId="0" applyNumberFormat="0" applyFill="0" applyBorder="0" applyAlignment="0" applyProtection="0"/>
    <xf numFmtId="0" fontId="4" fillId="0" borderId="0"/>
    <xf numFmtId="0" fontId="6" fillId="0" borderId="0"/>
    <xf numFmtId="44" fontId="18"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44" fillId="14" borderId="0" applyNumberFormat="0" applyBorder="0" applyAlignment="0" applyProtection="0"/>
  </cellStyleXfs>
  <cellXfs count="743">
    <xf numFmtId="0" fontId="0" fillId="0" borderId="0" xfId="0"/>
    <xf numFmtId="0" fontId="1" fillId="0" borderId="0" xfId="2" applyProtection="1"/>
    <xf numFmtId="0" fontId="5" fillId="0" borderId="0" xfId="0" applyFont="1"/>
    <xf numFmtId="0" fontId="15" fillId="0" borderId="0" xfId="0" applyFont="1"/>
    <xf numFmtId="0" fontId="19" fillId="0" borderId="0" xfId="0" applyFont="1"/>
    <xf numFmtId="0" fontId="0" fillId="0" borderId="0" xfId="0" applyAlignment="1">
      <alignment horizontal="center"/>
    </xf>
    <xf numFmtId="44" fontId="0" fillId="0" borderId="0" xfId="0" applyNumberFormat="1"/>
    <xf numFmtId="44" fontId="0" fillId="0" borderId="0" xfId="0" applyNumberFormat="1" applyAlignment="1">
      <alignment horizontal="center"/>
    </xf>
    <xf numFmtId="0" fontId="20" fillId="2" borderId="2" xfId="0" applyFont="1" applyFill="1" applyBorder="1" applyAlignment="1">
      <alignment horizontal="center"/>
    </xf>
    <xf numFmtId="0" fontId="0" fillId="0" borderId="17" xfId="0" applyBorder="1"/>
    <xf numFmtId="0" fontId="2" fillId="0" borderId="21" xfId="0" applyFon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2" fillId="0" borderId="20" xfId="0" applyFont="1" applyBorder="1" applyAlignment="1">
      <alignment horizontal="centerContinuous"/>
    </xf>
    <xf numFmtId="0" fontId="0" fillId="4" borderId="6" xfId="0" applyFill="1" applyBorder="1" applyProtection="1">
      <protection locked="0"/>
    </xf>
    <xf numFmtId="0" fontId="0" fillId="4" borderId="7" xfId="0" applyFill="1" applyBorder="1" applyProtection="1">
      <protection locked="0"/>
    </xf>
    <xf numFmtId="0" fontId="17" fillId="2" borderId="24" xfId="0" applyFont="1" applyFill="1" applyBorder="1" applyAlignment="1">
      <alignment horizontal="center" vertical="center"/>
    </xf>
    <xf numFmtId="0" fontId="17" fillId="2" borderId="25" xfId="0" applyFont="1" applyFill="1" applyBorder="1" applyAlignment="1">
      <alignment horizontal="center" vertical="center" wrapText="1"/>
    </xf>
    <xf numFmtId="0" fontId="16" fillId="0" borderId="23" xfId="0" applyFont="1" applyBorder="1" applyAlignment="1">
      <alignment vertical="center" wrapText="1"/>
    </xf>
    <xf numFmtId="0" fontId="2" fillId="0" borderId="17" xfId="0" applyFont="1" applyBorder="1" applyAlignment="1">
      <alignment horizontal="centerContinuous"/>
    </xf>
    <xf numFmtId="0" fontId="2" fillId="0" borderId="0" xfId="0" applyFont="1" applyAlignment="1">
      <alignment horizontal="centerContinuous"/>
    </xf>
    <xf numFmtId="44" fontId="2" fillId="0" borderId="0" xfId="0" applyNumberFormat="1" applyFont="1"/>
    <xf numFmtId="0" fontId="2" fillId="0" borderId="0" xfId="0" applyFont="1"/>
    <xf numFmtId="0" fontId="0" fillId="0" borderId="16" xfId="0" applyBorder="1"/>
    <xf numFmtId="0" fontId="21" fillId="0" borderId="0" xfId="0" applyFont="1"/>
    <xf numFmtId="0" fontId="0" fillId="4" borderId="26" xfId="0" applyFill="1" applyBorder="1" applyAlignment="1" applyProtection="1">
      <alignment horizontal="center"/>
      <protection locked="0"/>
    </xf>
    <xf numFmtId="0" fontId="0" fillId="0" borderId="23" xfId="0" applyBorder="1"/>
    <xf numFmtId="0" fontId="16" fillId="5" borderId="23" xfId="0" applyFont="1" applyFill="1" applyBorder="1" applyAlignment="1">
      <alignment vertical="center" wrapText="1"/>
    </xf>
    <xf numFmtId="44" fontId="0" fillId="0" borderId="4" xfId="0" applyNumberFormat="1" applyBorder="1" applyProtection="1">
      <protection locked="0"/>
    </xf>
    <xf numFmtId="0" fontId="20" fillId="2" borderId="13" xfId="0" applyFont="1" applyFill="1" applyBorder="1" applyAlignment="1">
      <alignment horizontal="centerContinuous"/>
    </xf>
    <xf numFmtId="0" fontId="20" fillId="2" borderId="21" xfId="0" applyFont="1" applyFill="1" applyBorder="1" applyAlignment="1">
      <alignment horizontal="centerContinuous"/>
    </xf>
    <xf numFmtId="43" fontId="0" fillId="0" borderId="0" xfId="0" applyNumberFormat="1"/>
    <xf numFmtId="0" fontId="22" fillId="0" borderId="0" xfId="0" applyFont="1"/>
    <xf numFmtId="0" fontId="23" fillId="0" borderId="0" xfId="0" applyFont="1"/>
    <xf numFmtId="0" fontId="17" fillId="2" borderId="0" xfId="0" applyFont="1" applyFill="1" applyAlignment="1">
      <alignment horizontal="center" vertical="center" wrapText="1"/>
    </xf>
    <xf numFmtId="0" fontId="17" fillId="2" borderId="0" xfId="0" applyFont="1" applyFill="1" applyAlignment="1">
      <alignment horizontal="center" vertical="center"/>
    </xf>
    <xf numFmtId="44" fontId="16" fillId="0" borderId="23" xfId="0" applyNumberFormat="1" applyFont="1" applyBorder="1" applyAlignment="1">
      <alignment vertical="center" wrapText="1"/>
    </xf>
    <xf numFmtId="165" fontId="16" fillId="0" borderId="23" xfId="0" applyNumberFormat="1" applyFont="1" applyBorder="1" applyAlignment="1">
      <alignment vertical="center" wrapText="1"/>
    </xf>
    <xf numFmtId="44" fontId="16" fillId="5" borderId="23" xfId="0" applyNumberFormat="1" applyFont="1" applyFill="1" applyBorder="1" applyAlignment="1">
      <alignment vertical="center" wrapText="1"/>
    </xf>
    <xf numFmtId="165" fontId="16" fillId="5" borderId="23" xfId="0" applyNumberFormat="1" applyFont="1" applyFill="1" applyBorder="1" applyAlignment="1">
      <alignment vertical="center" wrapText="1"/>
    </xf>
    <xf numFmtId="0" fontId="0" fillId="0" borderId="28" xfId="0" applyBorder="1"/>
    <xf numFmtId="0" fontId="17" fillId="2" borderId="29" xfId="0" applyFont="1" applyFill="1" applyBorder="1" applyAlignment="1">
      <alignment horizontal="center" vertical="center"/>
    </xf>
    <xf numFmtId="0" fontId="16" fillId="0" borderId="0" xfId="0" applyFont="1"/>
    <xf numFmtId="0" fontId="16" fillId="0" borderId="30" xfId="0" applyFont="1" applyBorder="1"/>
    <xf numFmtId="0" fontId="24" fillId="2" borderId="31" xfId="0" applyFont="1" applyFill="1" applyBorder="1" applyAlignment="1">
      <alignment horizontal="center" vertical="center"/>
    </xf>
    <xf numFmtId="0" fontId="24" fillId="2" borderId="32" xfId="0" applyFont="1" applyFill="1" applyBorder="1" applyAlignment="1">
      <alignment horizontal="center" vertical="center"/>
    </xf>
    <xf numFmtId="0" fontId="24" fillId="2" borderId="33" xfId="0" applyFont="1" applyFill="1" applyBorder="1" applyAlignment="1">
      <alignment horizontal="center" vertical="center"/>
    </xf>
    <xf numFmtId="0" fontId="16" fillId="0" borderId="34" xfId="0" applyFont="1" applyBorder="1"/>
    <xf numFmtId="0" fontId="16" fillId="0" borderId="35" xfId="0" applyFont="1" applyBorder="1"/>
    <xf numFmtId="0" fontId="16" fillId="0" borderId="20" xfId="0" applyFont="1" applyBorder="1"/>
    <xf numFmtId="0" fontId="16" fillId="0" borderId="36" xfId="0" applyFont="1" applyBorder="1"/>
    <xf numFmtId="0" fontId="16" fillId="0" borderId="37" xfId="0" applyFont="1" applyBorder="1"/>
    <xf numFmtId="0" fontId="25" fillId="0" borderId="0" xfId="0" applyFont="1" applyAlignment="1">
      <alignment horizontal="centerContinuous"/>
    </xf>
    <xf numFmtId="0" fontId="16" fillId="0" borderId="0" xfId="0" applyFont="1" applyAlignment="1">
      <alignment horizontal="centerContinuous"/>
    </xf>
    <xf numFmtId="0" fontId="24" fillId="2" borderId="38" xfId="0" applyFont="1" applyFill="1" applyBorder="1" applyAlignment="1">
      <alignment horizontal="center" vertical="center" wrapText="1"/>
    </xf>
    <xf numFmtId="0" fontId="16" fillId="0" borderId="21" xfId="0" applyFont="1" applyBorder="1" applyAlignment="1">
      <alignment vertical="center" wrapText="1"/>
    </xf>
    <xf numFmtId="0" fontId="17" fillId="2" borderId="24"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6" fillId="0" borderId="39" xfId="0" applyFont="1" applyBorder="1" applyAlignment="1">
      <alignment vertical="center" wrapText="1"/>
    </xf>
    <xf numFmtId="0" fontId="16" fillId="5" borderId="39" xfId="0" applyFont="1" applyFill="1" applyBorder="1" applyAlignment="1">
      <alignment vertical="center" wrapText="1"/>
    </xf>
    <xf numFmtId="0" fontId="16" fillId="0" borderId="27" xfId="0" applyFont="1" applyBorder="1" applyAlignment="1">
      <alignment vertical="center" wrapText="1"/>
    </xf>
    <xf numFmtId="0" fontId="16" fillId="0" borderId="40" xfId="0" applyFont="1" applyBorder="1" applyAlignment="1">
      <alignment vertical="center" wrapText="1"/>
    </xf>
    <xf numFmtId="0" fontId="17" fillId="2" borderId="2"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1" xfId="0" applyFont="1" applyFill="1" applyBorder="1" applyAlignment="1">
      <alignment horizontal="center" vertical="center"/>
    </xf>
    <xf numFmtId="166" fontId="16" fillId="5" borderId="23" xfId="7" applyNumberFormat="1" applyFont="1" applyFill="1" applyBorder="1" applyAlignment="1">
      <alignment vertical="center" wrapText="1"/>
    </xf>
    <xf numFmtId="0" fontId="23" fillId="0" borderId="13" xfId="0" applyFont="1" applyBorder="1" applyAlignment="1">
      <alignment horizontal="right"/>
    </xf>
    <xf numFmtId="10" fontId="0" fillId="6" borderId="21" xfId="0" applyNumberFormat="1" applyFill="1" applyBorder="1"/>
    <xf numFmtId="44" fontId="0" fillId="0" borderId="4" xfId="0" applyNumberFormat="1" applyBorder="1" applyAlignment="1">
      <alignment horizontal="center"/>
    </xf>
    <xf numFmtId="0" fontId="0" fillId="0" borderId="15" xfId="0" applyBorder="1"/>
    <xf numFmtId="2" fontId="0" fillId="0" borderId="0" xfId="0" applyNumberFormat="1"/>
    <xf numFmtId="0" fontId="20" fillId="2" borderId="3" xfId="0" applyFont="1" applyFill="1" applyBorder="1" applyAlignment="1">
      <alignment horizontal="center"/>
    </xf>
    <xf numFmtId="0" fontId="22" fillId="2" borderId="14" xfId="0" applyFont="1" applyFill="1" applyBorder="1" applyAlignment="1">
      <alignment horizontal="centerContinuous"/>
    </xf>
    <xf numFmtId="41" fontId="0" fillId="4" borderId="0" xfId="0" applyNumberFormat="1" applyFill="1" applyAlignment="1" applyProtection="1">
      <alignment horizontal="right"/>
      <protection locked="0"/>
    </xf>
    <xf numFmtId="0" fontId="20" fillId="0" borderId="0" xfId="0" applyFont="1" applyAlignment="1">
      <alignment horizontal="center"/>
    </xf>
    <xf numFmtId="0" fontId="22" fillId="0" borderId="0" xfId="0" applyFont="1" applyAlignment="1">
      <alignment horizontal="centerContinuous"/>
    </xf>
    <xf numFmtId="0" fontId="22" fillId="0" borderId="0" xfId="0" applyFont="1" applyAlignment="1">
      <alignment horizontal="left"/>
    </xf>
    <xf numFmtId="0" fontId="27" fillId="0" borderId="0" xfId="0" applyFont="1"/>
    <xf numFmtId="0" fontId="0" fillId="4" borderId="3" xfId="0" applyFill="1" applyBorder="1" applyProtection="1">
      <protection locked="0"/>
    </xf>
    <xf numFmtId="42" fontId="0" fillId="0" borderId="4" xfId="0" applyNumberFormat="1" applyBorder="1"/>
    <xf numFmtId="42" fontId="0" fillId="0" borderId="9" xfId="0" applyNumberFormat="1" applyBorder="1"/>
    <xf numFmtId="44" fontId="28" fillId="0" borderId="9" xfId="0" applyNumberFormat="1" applyFont="1" applyBorder="1"/>
    <xf numFmtId="42" fontId="28" fillId="0" borderId="9" xfId="0" applyNumberFormat="1" applyFont="1" applyBorder="1"/>
    <xf numFmtId="0" fontId="0" fillId="0" borderId="15" xfId="0" applyBorder="1" applyAlignment="1">
      <alignment horizontal="center"/>
    </xf>
    <xf numFmtId="44" fontId="0" fillId="0" borderId="6" xfId="0" applyNumberFormat="1" applyBorder="1" applyAlignment="1">
      <alignment horizontal="center"/>
    </xf>
    <xf numFmtId="44" fontId="0" fillId="0" borderId="7" xfId="0" applyNumberFormat="1" applyBorder="1" applyAlignment="1">
      <alignment horizontal="center"/>
    </xf>
    <xf numFmtId="0" fontId="17" fillId="2" borderId="21" xfId="0" applyFont="1" applyFill="1" applyBorder="1" applyAlignment="1">
      <alignment horizontal="center"/>
    </xf>
    <xf numFmtId="0" fontId="2" fillId="0" borderId="0" xfId="0" applyFont="1" applyAlignment="1">
      <alignment horizontal="center"/>
    </xf>
    <xf numFmtId="44" fontId="0" fillId="0" borderId="21" xfId="0" applyNumberFormat="1" applyBorder="1" applyAlignment="1">
      <alignment horizontal="center"/>
    </xf>
    <xf numFmtId="44" fontId="0" fillId="0" borderId="21" xfId="0" applyNumberFormat="1" applyBorder="1"/>
    <xf numFmtId="42" fontId="0" fillId="0" borderId="1" xfId="0" applyNumberFormat="1" applyBorder="1"/>
    <xf numFmtId="44" fontId="0" fillId="0" borderId="1" xfId="0" applyNumberFormat="1" applyBorder="1"/>
    <xf numFmtId="44" fontId="16" fillId="7" borderId="23" xfId="0" applyNumberFormat="1" applyFont="1" applyFill="1" applyBorder="1" applyAlignment="1">
      <alignment vertical="center" wrapText="1"/>
    </xf>
    <xf numFmtId="0" fontId="16" fillId="5" borderId="46" xfId="0" applyFont="1" applyFill="1" applyBorder="1" applyAlignment="1">
      <alignment vertical="center" wrapText="1"/>
    </xf>
    <xf numFmtId="0" fontId="16" fillId="0" borderId="46" xfId="0" applyFont="1" applyBorder="1" applyAlignment="1">
      <alignment vertical="center" wrapText="1"/>
    </xf>
    <xf numFmtId="0" fontId="16" fillId="0" borderId="47" xfId="0" applyFont="1" applyBorder="1" applyAlignment="1">
      <alignment vertical="center" wrapText="1"/>
    </xf>
    <xf numFmtId="166" fontId="29" fillId="0" borderId="23" xfId="7" applyNumberFormat="1" applyFont="1" applyFill="1" applyBorder="1" applyAlignment="1">
      <alignment vertical="center" wrapText="1"/>
    </xf>
    <xf numFmtId="0" fontId="0" fillId="0" borderId="48" xfId="0" applyBorder="1" applyAlignment="1">
      <alignment horizontal="center"/>
    </xf>
    <xf numFmtId="0" fontId="0" fillId="0" borderId="7" xfId="0" applyBorder="1" applyAlignment="1">
      <alignment horizontal="center"/>
    </xf>
    <xf numFmtId="0" fontId="16" fillId="0" borderId="24" xfId="0" applyFont="1" applyBorder="1" applyAlignment="1">
      <alignment vertical="center" wrapText="1"/>
    </xf>
    <xf numFmtId="0" fontId="16" fillId="0" borderId="49" xfId="0" applyFont="1" applyBorder="1" applyAlignment="1">
      <alignment vertical="center" wrapText="1"/>
    </xf>
    <xf numFmtId="0" fontId="17" fillId="2" borderId="31" xfId="0" applyFont="1" applyFill="1" applyBorder="1" applyAlignment="1">
      <alignment horizontal="center" vertical="center" wrapText="1"/>
    </xf>
    <xf numFmtId="0" fontId="0" fillId="4" borderId="0" xfId="0" applyFill="1" applyAlignment="1" applyProtection="1">
      <alignment horizontal="right"/>
      <protection locked="0"/>
    </xf>
    <xf numFmtId="0" fontId="0" fillId="4" borderId="8" xfId="0" applyFill="1" applyBorder="1" applyAlignment="1" applyProtection="1">
      <alignment horizontal="right"/>
      <protection locked="0"/>
    </xf>
    <xf numFmtId="44" fontId="0" fillId="0" borderId="6" xfId="0" applyNumberFormat="1" applyBorder="1" applyAlignment="1">
      <alignment horizontal="right"/>
    </xf>
    <xf numFmtId="0" fontId="0" fillId="0" borderId="8" xfId="0" applyBorder="1" applyAlignment="1">
      <alignment horizontal="centerContinuous"/>
    </xf>
    <xf numFmtId="0" fontId="17" fillId="2" borderId="3" xfId="0" applyFont="1" applyFill="1" applyBorder="1" applyAlignment="1">
      <alignment horizontal="center"/>
    </xf>
    <xf numFmtId="0" fontId="17" fillId="2" borderId="7" xfId="0" applyFont="1" applyFill="1" applyBorder="1" applyAlignment="1">
      <alignment horizontal="center"/>
    </xf>
    <xf numFmtId="0" fontId="0" fillId="4" borderId="2" xfId="0" applyFill="1" applyBorder="1" applyAlignment="1" applyProtection="1">
      <alignment horizontal="right"/>
      <protection locked="0"/>
    </xf>
    <xf numFmtId="44" fontId="0" fillId="0" borderId="4" xfId="0" applyNumberFormat="1" applyBorder="1"/>
    <xf numFmtId="44" fontId="0" fillId="0" borderId="9" xfId="0" applyNumberFormat="1" applyBorder="1"/>
    <xf numFmtId="0" fontId="16" fillId="0" borderId="31" xfId="0" applyFont="1" applyBorder="1"/>
    <xf numFmtId="0" fontId="16" fillId="0" borderId="32" xfId="0" applyFont="1" applyBorder="1"/>
    <xf numFmtId="0" fontId="16" fillId="0" borderId="33" xfId="0" applyFont="1" applyBorder="1"/>
    <xf numFmtId="0" fontId="2" fillId="0" borderId="15" xfId="0" applyFont="1" applyBorder="1" applyAlignment="1">
      <alignment horizontal="center"/>
    </xf>
    <xf numFmtId="0" fontId="19" fillId="5" borderId="18" xfId="0" applyFont="1" applyFill="1" applyBorder="1" applyAlignment="1" applyProtection="1">
      <alignment horizontal="center" vertical="center"/>
      <protection locked="0"/>
    </xf>
    <xf numFmtId="0" fontId="19" fillId="0" borderId="13" xfId="0" applyFont="1" applyBorder="1" applyAlignment="1">
      <alignment horizontal="left" vertical="center"/>
    </xf>
    <xf numFmtId="0" fontId="28" fillId="0" borderId="17" xfId="0" applyFont="1" applyBorder="1" applyAlignment="1">
      <alignment horizontal="center"/>
    </xf>
    <xf numFmtId="0" fontId="17" fillId="2" borderId="14" xfId="0" applyFont="1" applyFill="1" applyBorder="1" applyAlignment="1">
      <alignment horizontal="center"/>
    </xf>
    <xf numFmtId="0" fontId="17" fillId="2" borderId="32" xfId="0" applyFont="1" applyFill="1" applyBorder="1" applyAlignment="1">
      <alignment horizontal="center"/>
    </xf>
    <xf numFmtId="0" fontId="17" fillId="2" borderId="1" xfId="0" applyFont="1" applyFill="1" applyBorder="1" applyAlignment="1">
      <alignment horizontal="center"/>
    </xf>
    <xf numFmtId="0" fontId="17" fillId="2" borderId="33" xfId="0" applyFont="1" applyFill="1" applyBorder="1" applyAlignment="1">
      <alignment horizontal="center"/>
    </xf>
    <xf numFmtId="1" fontId="0" fillId="0" borderId="0" xfId="0" applyNumberFormat="1"/>
    <xf numFmtId="0" fontId="0" fillId="0" borderId="2" xfId="0" applyBorder="1"/>
    <xf numFmtId="0" fontId="0" fillId="0" borderId="8" xfId="0" applyBorder="1"/>
    <xf numFmtId="14" fontId="22" fillId="0" borderId="0" xfId="0" applyNumberFormat="1" applyFont="1"/>
    <xf numFmtId="0" fontId="0" fillId="3" borderId="2" xfId="0" applyFill="1" applyBorder="1" applyAlignment="1">
      <alignment horizontal="center"/>
    </xf>
    <xf numFmtId="0" fontId="0" fillId="3" borderId="0" xfId="0" applyFill="1" applyAlignment="1">
      <alignment horizontal="center"/>
    </xf>
    <xf numFmtId="0" fontId="0" fillId="3" borderId="8" xfId="0" applyFill="1" applyBorder="1" applyAlignment="1">
      <alignment horizontal="center"/>
    </xf>
    <xf numFmtId="0" fontId="0" fillId="0" borderId="22" xfId="0" applyBorder="1" applyAlignment="1">
      <alignment horizontal="centerContinuous"/>
    </xf>
    <xf numFmtId="169" fontId="0" fillId="0" borderId="0" xfId="0" applyNumberFormat="1"/>
    <xf numFmtId="14" fontId="0" fillId="0" borderId="3" xfId="0" applyNumberFormat="1" applyBorder="1" applyProtection="1">
      <protection locked="0"/>
    </xf>
    <xf numFmtId="14" fontId="0" fillId="0" borderId="33" xfId="0" applyNumberFormat="1" applyBorder="1" applyProtection="1">
      <protection locked="0"/>
    </xf>
    <xf numFmtId="14" fontId="0" fillId="0" borderId="6" xfId="0" applyNumberFormat="1" applyBorder="1" applyProtection="1">
      <protection locked="0"/>
    </xf>
    <xf numFmtId="14" fontId="0" fillId="0" borderId="35" xfId="0" applyNumberFormat="1" applyBorder="1" applyProtection="1">
      <protection locked="0"/>
    </xf>
    <xf numFmtId="14" fontId="0" fillId="0" borderId="7" xfId="0" applyNumberFormat="1" applyBorder="1" applyProtection="1">
      <protection locked="0"/>
    </xf>
    <xf numFmtId="14" fontId="0" fillId="0" borderId="37" xfId="0" applyNumberFormat="1" applyBorder="1" applyProtection="1">
      <protection locked="0"/>
    </xf>
    <xf numFmtId="0" fontId="0" fillId="4" borderId="32" xfId="0" applyFill="1" applyBorder="1" applyProtection="1">
      <protection locked="0"/>
    </xf>
    <xf numFmtId="0" fontId="0" fillId="4" borderId="30" xfId="0" applyFill="1" applyBorder="1" applyProtection="1">
      <protection locked="0"/>
    </xf>
    <xf numFmtId="0" fontId="0" fillId="4" borderId="36" xfId="0" applyFill="1" applyBorder="1" applyProtection="1">
      <protection locked="0"/>
    </xf>
    <xf numFmtId="0" fontId="24" fillId="0" borderId="0" xfId="0" applyFont="1" applyAlignment="1">
      <alignment horizontal="center" vertical="center" wrapText="1"/>
    </xf>
    <xf numFmtId="0" fontId="24" fillId="2" borderId="43" xfId="0" applyFont="1" applyFill="1" applyBorder="1" applyAlignment="1">
      <alignment horizontal="center" vertical="center"/>
    </xf>
    <xf numFmtId="0" fontId="25" fillId="0" borderId="13" xfId="0" applyFont="1" applyBorder="1" applyAlignment="1">
      <alignment horizontal="centerContinuous"/>
    </xf>
    <xf numFmtId="0" fontId="25" fillId="0" borderId="21" xfId="0" applyFont="1" applyBorder="1" applyAlignment="1">
      <alignment horizontal="centerContinuous"/>
    </xf>
    <xf numFmtId="0" fontId="12" fillId="0" borderId="0" xfId="4" applyFont="1"/>
    <xf numFmtId="0" fontId="13" fillId="0" borderId="21" xfId="4" applyFont="1" applyBorder="1" applyAlignment="1">
      <alignment horizontal="center"/>
    </xf>
    <xf numFmtId="0" fontId="13" fillId="0" borderId="7" xfId="4" applyFont="1" applyBorder="1" applyAlignment="1">
      <alignment horizontal="center"/>
    </xf>
    <xf numFmtId="0" fontId="13" fillId="0" borderId="13" xfId="4" applyFont="1" applyBorder="1" applyAlignment="1">
      <alignment horizontal="center"/>
    </xf>
    <xf numFmtId="0" fontId="13" fillId="0" borderId="42" xfId="4" applyFont="1" applyBorder="1" applyAlignment="1">
      <alignment horizontal="center"/>
    </xf>
    <xf numFmtId="0" fontId="25" fillId="0" borderId="42" xfId="0" applyFont="1" applyBorder="1" applyAlignment="1">
      <alignment horizontal="center"/>
    </xf>
    <xf numFmtId="0" fontId="16" fillId="0" borderId="44" xfId="0" applyFont="1" applyBorder="1"/>
    <xf numFmtId="0" fontId="7" fillId="0" borderId="6" xfId="4" applyFont="1" applyBorder="1"/>
    <xf numFmtId="0" fontId="16" fillId="0" borderId="2" xfId="0" applyFont="1" applyBorder="1"/>
    <xf numFmtId="0" fontId="7" fillId="0" borderId="1" xfId="4" applyFont="1" applyBorder="1" applyAlignment="1">
      <alignment horizontal="center"/>
    </xf>
    <xf numFmtId="0" fontId="7" fillId="0" borderId="0" xfId="4" applyFont="1"/>
    <xf numFmtId="0" fontId="8" fillId="0" borderId="0" xfId="4" applyFont="1" applyAlignment="1">
      <alignment horizontal="right"/>
    </xf>
    <xf numFmtId="0" fontId="7" fillId="0" borderId="4" xfId="4" applyFont="1" applyBorder="1"/>
    <xf numFmtId="0" fontId="9" fillId="0" borderId="0" xfId="4" applyFont="1"/>
    <xf numFmtId="0" fontId="11" fillId="0" borderId="0" xfId="4" applyFont="1" applyAlignment="1">
      <alignment horizontal="right"/>
    </xf>
    <xf numFmtId="0" fontId="10" fillId="0" borderId="0" xfId="4" applyFont="1"/>
    <xf numFmtId="0" fontId="16" fillId="0" borderId="15" xfId="0" applyFont="1" applyBorder="1" applyAlignment="1">
      <alignment horizontal="left"/>
    </xf>
    <xf numFmtId="0" fontId="16" fillId="0" borderId="6" xfId="0" applyFont="1" applyBorder="1" applyAlignment="1">
      <alignment horizontal="left"/>
    </xf>
    <xf numFmtId="0" fontId="16" fillId="0" borderId="3" xfId="0" applyFont="1" applyBorder="1" applyAlignment="1">
      <alignment horizontal="left"/>
    </xf>
    <xf numFmtId="0" fontId="16" fillId="0" borderId="43" xfId="0" applyFont="1" applyBorder="1" applyAlignment="1">
      <alignment horizontal="left"/>
    </xf>
    <xf numFmtId="44" fontId="16" fillId="0" borderId="43" xfId="0" applyNumberFormat="1" applyFont="1" applyBorder="1" applyAlignment="1">
      <alignment horizontal="left"/>
    </xf>
    <xf numFmtId="0" fontId="16" fillId="0" borderId="8" xfId="0" applyFont="1" applyBorder="1"/>
    <xf numFmtId="0" fontId="7" fillId="0" borderId="4" xfId="4" applyFont="1" applyBorder="1" applyAlignment="1">
      <alignment horizontal="center"/>
    </xf>
    <xf numFmtId="0" fontId="16" fillId="0" borderId="16" xfId="0" applyFont="1" applyBorder="1" applyAlignment="1">
      <alignment horizontal="left"/>
    </xf>
    <xf numFmtId="0" fontId="16" fillId="0" borderId="44" xfId="0" applyFont="1" applyBorder="1" applyAlignment="1">
      <alignment horizontal="left"/>
    </xf>
    <xf numFmtId="44" fontId="16" fillId="0" borderId="44" xfId="0" applyNumberFormat="1" applyFont="1" applyBorder="1" applyAlignment="1">
      <alignment horizontal="left"/>
    </xf>
    <xf numFmtId="0" fontId="7" fillId="0" borderId="16" xfId="4" applyFont="1" applyBorder="1"/>
    <xf numFmtId="44" fontId="0" fillId="0" borderId="2" xfId="0" applyNumberFormat="1" applyBorder="1" applyAlignment="1">
      <alignment horizontal="right"/>
    </xf>
    <xf numFmtId="44" fontId="0" fillId="0" borderId="0" xfId="0" applyNumberFormat="1" applyAlignment="1">
      <alignment horizontal="right"/>
    </xf>
    <xf numFmtId="44" fontId="0" fillId="0" borderId="8" xfId="0" applyNumberFormat="1" applyBorder="1" applyAlignment="1">
      <alignment horizontal="right"/>
    </xf>
    <xf numFmtId="0" fontId="7" fillId="0" borderId="8" xfId="4" applyFont="1" applyBorder="1"/>
    <xf numFmtId="0" fontId="8" fillId="0" borderId="8" xfId="4" applyFont="1" applyBorder="1" applyAlignment="1">
      <alignment horizontal="right"/>
    </xf>
    <xf numFmtId="0" fontId="7" fillId="0" borderId="9" xfId="4" applyFont="1" applyBorder="1"/>
    <xf numFmtId="14" fontId="0" fillId="0" borderId="0" xfId="0" applyNumberFormat="1"/>
    <xf numFmtId="0" fontId="7" fillId="0" borderId="9" xfId="4" applyFont="1" applyBorder="1" applyAlignment="1">
      <alignment horizontal="center"/>
    </xf>
    <xf numFmtId="0" fontId="0" fillId="0" borderId="1" xfId="0" applyBorder="1" applyAlignment="1">
      <alignment horizontal="center"/>
    </xf>
    <xf numFmtId="0" fontId="0" fillId="0" borderId="4" xfId="0" applyBorder="1" applyAlignment="1">
      <alignment horizontal="center"/>
    </xf>
    <xf numFmtId="0" fontId="0" fillId="0" borderId="9" xfId="0" applyBorder="1" applyAlignment="1">
      <alignment horizontal="center"/>
    </xf>
    <xf numFmtId="0" fontId="28" fillId="0" borderId="15" xfId="0" applyFont="1" applyBorder="1" applyAlignment="1">
      <alignment horizontal="center"/>
    </xf>
    <xf numFmtId="0" fontId="28" fillId="0" borderId="21" xfId="0" applyFont="1" applyBorder="1" applyAlignment="1">
      <alignment horizontal="center"/>
    </xf>
    <xf numFmtId="0" fontId="27" fillId="0" borderId="15" xfId="0" applyFont="1" applyBorder="1" applyAlignment="1">
      <alignment horizontal="center"/>
    </xf>
    <xf numFmtId="0" fontId="27" fillId="0" borderId="2" xfId="0" applyFont="1" applyBorder="1"/>
    <xf numFmtId="0" fontId="27" fillId="0" borderId="16" xfId="0" applyFont="1" applyBorder="1" applyAlignment="1">
      <alignment horizontal="center"/>
    </xf>
    <xf numFmtId="0" fontId="27" fillId="0" borderId="17" xfId="0" applyFont="1" applyBorder="1" applyAlignment="1">
      <alignment horizontal="center"/>
    </xf>
    <xf numFmtId="0" fontId="27" fillId="0" borderId="8" xfId="0" applyFont="1" applyBorder="1"/>
    <xf numFmtId="170" fontId="0" fillId="0" borderId="3" xfId="0" applyNumberFormat="1" applyBorder="1"/>
    <xf numFmtId="170" fontId="0" fillId="0" borderId="6" xfId="0" applyNumberFormat="1" applyBorder="1"/>
    <xf numFmtId="170" fontId="0" fillId="0" borderId="7" xfId="0" applyNumberFormat="1" applyBorder="1"/>
    <xf numFmtId="171" fontId="0" fillId="0" borderId="0" xfId="0" applyNumberFormat="1"/>
    <xf numFmtId="0" fontId="30" fillId="0" borderId="0" xfId="0" applyFont="1"/>
    <xf numFmtId="0" fontId="0" fillId="0" borderId="0" xfId="0" applyProtection="1">
      <protection locked="0"/>
    </xf>
    <xf numFmtId="0" fontId="0" fillId="0" borderId="8" xfId="0" applyBorder="1" applyProtection="1">
      <protection locked="0"/>
    </xf>
    <xf numFmtId="44" fontId="0" fillId="0" borderId="8" xfId="0" applyNumberFormat="1" applyBorder="1"/>
    <xf numFmtId="44" fontId="0" fillId="0" borderId="2" xfId="0" applyNumberFormat="1" applyBorder="1"/>
    <xf numFmtId="0" fontId="0" fillId="4" borderId="10" xfId="0" applyFill="1" applyBorder="1" applyAlignment="1" applyProtection="1">
      <alignment horizontal="center"/>
      <protection locked="0"/>
    </xf>
    <xf numFmtId="0" fontId="0" fillId="4" borderId="46" xfId="0" applyFill="1" applyBorder="1" applyAlignment="1" applyProtection="1">
      <alignment horizontal="center"/>
      <protection locked="0"/>
    </xf>
    <xf numFmtId="0" fontId="0" fillId="4" borderId="47" xfId="0" applyFill="1" applyBorder="1" applyAlignment="1" applyProtection="1">
      <alignment horizontal="center"/>
      <protection locked="0"/>
    </xf>
    <xf numFmtId="0" fontId="31" fillId="0" borderId="0" xfId="0" applyFont="1" applyAlignment="1">
      <alignment vertical="center" wrapText="1"/>
    </xf>
    <xf numFmtId="44" fontId="0" fillId="0" borderId="1" xfId="0" applyNumberFormat="1" applyBorder="1" applyProtection="1">
      <protection locked="0"/>
    </xf>
    <xf numFmtId="44" fontId="0" fillId="0" borderId="9" xfId="0" applyNumberFormat="1" applyBorder="1" applyProtection="1">
      <protection locked="0"/>
    </xf>
    <xf numFmtId="172" fontId="0" fillId="4" borderId="0" xfId="6" applyNumberFormat="1" applyFont="1" applyFill="1" applyBorder="1" applyAlignment="1" applyProtection="1">
      <alignment horizontal="right"/>
      <protection locked="0"/>
    </xf>
    <xf numFmtId="0" fontId="32" fillId="0" borderId="0" xfId="0" applyFont="1"/>
    <xf numFmtId="43" fontId="0" fillId="0" borderId="0" xfId="6" applyFont="1" applyBorder="1" applyAlignment="1" applyProtection="1">
      <alignment horizontal="center"/>
    </xf>
    <xf numFmtId="0" fontId="0" fillId="3" borderId="0" xfId="0" applyFill="1" applyAlignment="1" applyProtection="1">
      <alignment horizontal="center"/>
      <protection locked="0"/>
    </xf>
    <xf numFmtId="0" fontId="0" fillId="3" borderId="8" xfId="0" applyFill="1" applyBorder="1" applyAlignment="1" applyProtection="1">
      <alignment horizontal="center"/>
      <protection locked="0"/>
    </xf>
    <xf numFmtId="171" fontId="0" fillId="0" borderId="0" xfId="0" applyNumberFormat="1" applyAlignment="1">
      <alignment horizontal="center"/>
    </xf>
    <xf numFmtId="173" fontId="0" fillId="4" borderId="26" xfId="0" applyNumberFormat="1" applyFill="1" applyBorder="1" applyAlignment="1" applyProtection="1">
      <alignment horizontal="center"/>
      <protection locked="0"/>
    </xf>
    <xf numFmtId="0" fontId="2" fillId="0" borderId="39" xfId="0" applyFont="1" applyBorder="1" applyAlignment="1">
      <alignment vertical="top" wrapText="1"/>
    </xf>
    <xf numFmtId="0" fontId="0" fillId="0" borderId="39" xfId="0" applyBorder="1" applyAlignment="1">
      <alignment wrapText="1"/>
    </xf>
    <xf numFmtId="0" fontId="0" fillId="0" borderId="16" xfId="0" applyBorder="1" applyAlignment="1">
      <alignment wrapText="1"/>
    </xf>
    <xf numFmtId="0" fontId="0" fillId="0" borderId="2" xfId="0" applyBorder="1" applyProtection="1">
      <protection locked="0"/>
    </xf>
    <xf numFmtId="44" fontId="0" fillId="0" borderId="2" xfId="0" applyNumberFormat="1" applyBorder="1" applyAlignment="1">
      <alignment horizontal="center"/>
    </xf>
    <xf numFmtId="44" fontId="0" fillId="0" borderId="8" xfId="0" applyNumberFormat="1" applyBorder="1" applyAlignment="1">
      <alignment horizontal="center"/>
    </xf>
    <xf numFmtId="0" fontId="2" fillId="0" borderId="51" xfId="0" applyFont="1" applyBorder="1" applyAlignment="1">
      <alignment horizontal="centerContinuous"/>
    </xf>
    <xf numFmtId="0" fontId="0" fillId="0" borderId="9" xfId="0" applyBorder="1" applyAlignment="1">
      <alignment horizontal="centerContinuous"/>
    </xf>
    <xf numFmtId="44" fontId="2" fillId="0" borderId="17" xfId="0" applyNumberFormat="1" applyFont="1" applyBorder="1"/>
    <xf numFmtId="0" fontId="27" fillId="0" borderId="9" xfId="0" applyFont="1" applyBorder="1" applyAlignment="1">
      <alignment horizontal="centerContinuous"/>
    </xf>
    <xf numFmtId="0" fontId="20" fillId="2" borderId="15" xfId="0" applyFont="1" applyFill="1" applyBorder="1" applyAlignment="1">
      <alignment horizontal="center"/>
    </xf>
    <xf numFmtId="44" fontId="2" fillId="0" borderId="9" xfId="0" applyNumberFormat="1" applyFont="1" applyBorder="1"/>
    <xf numFmtId="41" fontId="0" fillId="4" borderId="8" xfId="0" applyNumberFormat="1" applyFill="1" applyBorder="1" applyAlignment="1" applyProtection="1">
      <alignment horizontal="right"/>
      <protection locked="0"/>
    </xf>
    <xf numFmtId="0" fontId="33" fillId="0" borderId="0" xfId="0" applyFont="1"/>
    <xf numFmtId="0" fontId="8" fillId="0" borderId="4" xfId="4" applyFont="1" applyBorder="1" applyAlignment="1">
      <alignment horizontal="center"/>
    </xf>
    <xf numFmtId="0" fontId="8" fillId="0" borderId="0" xfId="4" applyFont="1"/>
    <xf numFmtId="0" fontId="8" fillId="0" borderId="4" xfId="4" applyFont="1" applyBorder="1"/>
    <xf numFmtId="0" fontId="29" fillId="0" borderId="6" xfId="0" applyFont="1" applyBorder="1" applyAlignment="1">
      <alignment horizontal="left"/>
    </xf>
    <xf numFmtId="44" fontId="29" fillId="0" borderId="44" xfId="0" applyNumberFormat="1" applyFont="1" applyBorder="1" applyAlignment="1">
      <alignment horizontal="left"/>
    </xf>
    <xf numFmtId="0" fontId="29" fillId="0" borderId="34" xfId="0" applyFont="1" applyBorder="1"/>
    <xf numFmtId="0" fontId="29" fillId="0" borderId="30" xfId="0" applyFont="1" applyBorder="1"/>
    <xf numFmtId="0" fontId="29" fillId="0" borderId="35" xfId="0" applyFont="1" applyBorder="1"/>
    <xf numFmtId="0" fontId="29" fillId="0" borderId="23" xfId="0" applyFont="1" applyBorder="1" applyAlignment="1">
      <alignment vertical="center" wrapText="1"/>
    </xf>
    <xf numFmtId="0" fontId="29" fillId="0" borderId="20" xfId="0" applyFont="1" applyBorder="1"/>
    <xf numFmtId="0" fontId="29" fillId="0" borderId="36" xfId="0" applyFont="1" applyBorder="1"/>
    <xf numFmtId="0" fontId="29" fillId="0" borderId="37" xfId="0" applyFont="1" applyBorder="1"/>
    <xf numFmtId="0" fontId="29" fillId="5" borderId="23" xfId="0" applyFont="1" applyFill="1" applyBorder="1" applyAlignment="1">
      <alignment vertical="center" wrapText="1"/>
    </xf>
    <xf numFmtId="0" fontId="28" fillId="0" borderId="21" xfId="0" applyFont="1" applyBorder="1"/>
    <xf numFmtId="0" fontId="29" fillId="0" borderId="7" xfId="0" applyFont="1" applyBorder="1" applyAlignment="1">
      <alignment horizontal="left"/>
    </xf>
    <xf numFmtId="44" fontId="29" fillId="0" borderId="45" xfId="0" applyNumberFormat="1" applyFont="1" applyBorder="1" applyAlignment="1">
      <alignment horizontal="left"/>
    </xf>
    <xf numFmtId="0" fontId="0" fillId="0" borderId="0" xfId="0" quotePrefix="1"/>
    <xf numFmtId="0" fontId="8" fillId="0" borderId="16" xfId="4" applyFont="1" applyBorder="1"/>
    <xf numFmtId="0" fontId="29" fillId="0" borderId="16" xfId="0" applyFont="1" applyBorder="1" applyAlignment="1">
      <alignment horizontal="left"/>
    </xf>
    <xf numFmtId="0" fontId="29" fillId="0" borderId="0" xfId="0" applyFont="1"/>
    <xf numFmtId="0" fontId="8" fillId="0" borderId="17" xfId="4" applyFont="1" applyBorder="1"/>
    <xf numFmtId="0" fontId="29" fillId="0" borderId="17" xfId="0" applyFont="1" applyBorder="1" applyAlignment="1">
      <alignment horizontal="left"/>
    </xf>
    <xf numFmtId="0" fontId="17" fillId="2" borderId="15" xfId="0" applyFont="1" applyFill="1" applyBorder="1" applyAlignment="1">
      <alignment horizontal="center"/>
    </xf>
    <xf numFmtId="0" fontId="17" fillId="2" borderId="2" xfId="0" applyFont="1" applyFill="1" applyBorder="1" applyAlignment="1">
      <alignment horizontal="center"/>
    </xf>
    <xf numFmtId="0" fontId="0" fillId="4" borderId="57" xfId="0" applyFill="1" applyBorder="1" applyAlignment="1" applyProtection="1">
      <alignment horizontal="center"/>
      <protection locked="0"/>
    </xf>
    <xf numFmtId="0" fontId="0" fillId="4" borderId="58" xfId="0" applyFill="1" applyBorder="1" applyAlignment="1" applyProtection="1">
      <alignment horizontal="center"/>
      <protection locked="0"/>
    </xf>
    <xf numFmtId="0" fontId="0" fillId="4" borderId="59" xfId="0" applyFill="1" applyBorder="1" applyAlignment="1" applyProtection="1">
      <alignment horizontal="center"/>
      <protection locked="0"/>
    </xf>
    <xf numFmtId="41" fontId="0" fillId="0" borderId="3" xfId="0" applyNumberFormat="1" applyBorder="1"/>
    <xf numFmtId="41" fontId="0" fillId="0" borderId="6" xfId="0" applyNumberFormat="1" applyBorder="1"/>
    <xf numFmtId="41" fontId="0" fillId="0" borderId="7" xfId="0" applyNumberFormat="1" applyBorder="1"/>
    <xf numFmtId="0" fontId="26" fillId="0" borderId="0" xfId="0" applyFont="1"/>
    <xf numFmtId="0" fontId="2" fillId="0" borderId="1" xfId="0" applyFont="1" applyBorder="1" applyAlignment="1">
      <alignment horizontal="center"/>
    </xf>
    <xf numFmtId="41" fontId="0" fillId="0" borderId="15" xfId="0" applyNumberFormat="1" applyBorder="1"/>
    <xf numFmtId="41" fontId="0" fillId="0" borderId="16" xfId="0" applyNumberFormat="1" applyBorder="1"/>
    <xf numFmtId="41" fontId="0" fillId="0" borderId="17" xfId="0" applyNumberFormat="1" applyBorder="1"/>
    <xf numFmtId="44" fontId="0" fillId="0" borderId="1" xfId="0" applyNumberFormat="1" applyBorder="1" applyAlignment="1">
      <alignment horizontal="center"/>
    </xf>
    <xf numFmtId="44" fontId="0" fillId="0" borderId="9" xfId="0" applyNumberFormat="1" applyBorder="1" applyAlignment="1">
      <alignment horizontal="center"/>
    </xf>
    <xf numFmtId="166" fontId="0" fillId="0" borderId="0" xfId="7" applyNumberFormat="1" applyFont="1"/>
    <xf numFmtId="49" fontId="0" fillId="4" borderId="54" xfId="0" applyNumberFormat="1" applyFill="1" applyBorder="1" applyAlignment="1" applyProtection="1">
      <alignment horizontal="center"/>
      <protection locked="0"/>
    </xf>
    <xf numFmtId="49" fontId="0" fillId="4" borderId="19" xfId="0" applyNumberFormat="1" applyFill="1" applyBorder="1" applyAlignment="1" applyProtection="1">
      <alignment horizontal="center"/>
      <protection locked="0"/>
    </xf>
    <xf numFmtId="49" fontId="0" fillId="4" borderId="55" xfId="0" applyNumberFormat="1" applyFill="1" applyBorder="1" applyAlignment="1" applyProtection="1">
      <alignment horizontal="center"/>
      <protection locked="0"/>
    </xf>
    <xf numFmtId="0" fontId="29" fillId="0" borderId="27" xfId="0" applyFont="1" applyBorder="1" applyAlignment="1">
      <alignment vertical="center" wrapText="1"/>
    </xf>
    <xf numFmtId="0" fontId="25" fillId="0" borderId="43" xfId="0" applyFont="1" applyBorder="1" applyAlignment="1">
      <alignment horizontal="center"/>
    </xf>
    <xf numFmtId="44" fontId="16" fillId="0" borderId="60" xfId="0" applyNumberFormat="1" applyFont="1" applyBorder="1" applyAlignment="1">
      <alignment horizontal="left"/>
    </xf>
    <xf numFmtId="44" fontId="29" fillId="0" borderId="61" xfId="0" applyNumberFormat="1" applyFont="1" applyBorder="1" applyAlignment="1">
      <alignment horizontal="left"/>
    </xf>
    <xf numFmtId="0" fontId="0" fillId="0" borderId="0" xfId="0" applyAlignment="1">
      <alignment horizontal="centerContinuous"/>
    </xf>
    <xf numFmtId="0" fontId="14" fillId="0" borderId="0" xfId="4" applyFont="1"/>
    <xf numFmtId="2" fontId="27" fillId="0" borderId="0" xfId="0" applyNumberFormat="1" applyFont="1"/>
    <xf numFmtId="0" fontId="16" fillId="0" borderId="45" xfId="0" applyFont="1" applyBorder="1" applyAlignment="1">
      <alignment horizontal="left"/>
    </xf>
    <xf numFmtId="174" fontId="0" fillId="0" borderId="0" xfId="0" applyNumberFormat="1" applyAlignment="1">
      <alignment horizontal="center"/>
    </xf>
    <xf numFmtId="14" fontId="0" fillId="0" borderId="0" xfId="0" applyNumberFormat="1" applyAlignment="1" applyProtection="1">
      <alignment horizontal="center"/>
      <protection locked="0"/>
    </xf>
    <xf numFmtId="0" fontId="0" fillId="0" borderId="0" xfId="0" applyAlignment="1" applyProtection="1">
      <alignment horizontal="center"/>
      <protection locked="0"/>
    </xf>
    <xf numFmtId="0" fontId="0" fillId="3" borderId="2" xfId="0" applyFill="1" applyBorder="1" applyAlignment="1" applyProtection="1">
      <alignment horizontal="center"/>
      <protection locked="0"/>
    </xf>
    <xf numFmtId="170" fontId="0" fillId="4" borderId="2" xfId="0" applyNumberFormat="1" applyFill="1" applyBorder="1" applyProtection="1">
      <protection locked="0"/>
    </xf>
    <xf numFmtId="170" fontId="0" fillId="4" borderId="0" xfId="0" applyNumberFormat="1" applyFill="1" applyProtection="1">
      <protection locked="0"/>
    </xf>
    <xf numFmtId="170" fontId="0" fillId="4" borderId="8" xfId="0" applyNumberFormat="1" applyFill="1" applyBorder="1" applyProtection="1">
      <protection locked="0"/>
    </xf>
    <xf numFmtId="172" fontId="0" fillId="4" borderId="2" xfId="6" applyNumberFormat="1" applyFont="1" applyFill="1" applyBorder="1" applyAlignment="1" applyProtection="1">
      <alignment horizontal="right"/>
      <protection locked="0"/>
    </xf>
    <xf numFmtId="172" fontId="0" fillId="4" borderId="8" xfId="6" applyNumberFormat="1" applyFont="1" applyFill="1" applyBorder="1" applyAlignment="1" applyProtection="1">
      <alignment horizontal="right"/>
      <protection locked="0"/>
    </xf>
    <xf numFmtId="0" fontId="17" fillId="2" borderId="13" xfId="0" applyFont="1" applyFill="1" applyBorder="1" applyAlignment="1">
      <alignment horizontal="center"/>
    </xf>
    <xf numFmtId="0" fontId="17" fillId="2" borderId="63" xfId="0" applyFont="1" applyFill="1" applyBorder="1" applyAlignment="1">
      <alignment horizontal="center"/>
    </xf>
    <xf numFmtId="0" fontId="27" fillId="0" borderId="15" xfId="0" applyFont="1" applyBorder="1"/>
    <xf numFmtId="0" fontId="27" fillId="0" borderId="16" xfId="0" applyFont="1" applyBorder="1"/>
    <xf numFmtId="0" fontId="27" fillId="0" borderId="17" xfId="0" applyFont="1" applyBorder="1"/>
    <xf numFmtId="49" fontId="0" fillId="4" borderId="41" xfId="0" applyNumberFormat="1" applyFill="1" applyBorder="1" applyAlignment="1" applyProtection="1">
      <alignment horizontal="center"/>
      <protection locked="0"/>
    </xf>
    <xf numFmtId="0" fontId="0" fillId="0" borderId="44" xfId="0" applyBorder="1" applyAlignment="1" applyProtection="1">
      <alignment horizontal="center"/>
      <protection locked="0"/>
    </xf>
    <xf numFmtId="0" fontId="0" fillId="4" borderId="2" xfId="0" applyFill="1" applyBorder="1" applyProtection="1">
      <protection locked="0"/>
    </xf>
    <xf numFmtId="0" fontId="0" fillId="4" borderId="0" xfId="0" applyFill="1" applyProtection="1">
      <protection locked="0"/>
    </xf>
    <xf numFmtId="0" fontId="0" fillId="4" borderId="8" xfId="0" applyFill="1" applyBorder="1" applyProtection="1">
      <protection locked="0"/>
    </xf>
    <xf numFmtId="0" fontId="0" fillId="0" borderId="43" xfId="0" applyBorder="1" applyAlignment="1" applyProtection="1">
      <alignment horizontal="center"/>
      <protection locked="0"/>
    </xf>
    <xf numFmtId="0" fontId="0" fillId="0" borderId="45" xfId="0" applyBorder="1" applyAlignment="1" applyProtection="1">
      <alignment horizontal="center"/>
      <protection locked="0"/>
    </xf>
    <xf numFmtId="10" fontId="0" fillId="0" borderId="0" xfId="0" applyNumberFormat="1" applyAlignment="1">
      <alignment horizontal="center"/>
    </xf>
    <xf numFmtId="168" fontId="0" fillId="0" borderId="2" xfId="0" applyNumberFormat="1" applyBorder="1" applyProtection="1">
      <protection locked="0"/>
    </xf>
    <xf numFmtId="168" fontId="0" fillId="0" borderId="0" xfId="0" applyNumberFormat="1" applyProtection="1">
      <protection locked="0"/>
    </xf>
    <xf numFmtId="168" fontId="0" fillId="0" borderId="8" xfId="0" applyNumberFormat="1" applyBorder="1" applyProtection="1">
      <protection locked="0"/>
    </xf>
    <xf numFmtId="44" fontId="0" fillId="0" borderId="15" xfId="0" applyNumberFormat="1" applyBorder="1"/>
    <xf numFmtId="44" fontId="0" fillId="0" borderId="16" xfId="0" applyNumberFormat="1" applyBorder="1"/>
    <xf numFmtId="44" fontId="0" fillId="0" borderId="17" xfId="0" applyNumberFormat="1" applyBorder="1"/>
    <xf numFmtId="44" fontId="28" fillId="0" borderId="17" xfId="0" applyNumberFormat="1" applyFont="1" applyBorder="1"/>
    <xf numFmtId="0" fontId="25" fillId="0" borderId="21" xfId="0" applyFont="1" applyBorder="1"/>
    <xf numFmtId="0" fontId="25" fillId="0" borderId="2" xfId="0" applyFont="1" applyBorder="1"/>
    <xf numFmtId="0" fontId="25" fillId="0" borderId="22" xfId="0" applyFont="1" applyBorder="1"/>
    <xf numFmtId="0" fontId="25" fillId="0" borderId="1" xfId="0" applyFont="1" applyBorder="1"/>
    <xf numFmtId="0" fontId="25" fillId="0" borderId="21" xfId="0" applyFont="1" applyBorder="1" applyAlignment="1">
      <alignment horizontal="center"/>
    </xf>
    <xf numFmtId="0" fontId="25" fillId="0" borderId="13" xfId="0" applyFont="1" applyBorder="1" applyAlignment="1">
      <alignment horizontal="center"/>
    </xf>
    <xf numFmtId="0" fontId="25" fillId="0" borderId="14" xfId="0" applyFont="1" applyBorder="1"/>
    <xf numFmtId="0" fontId="25" fillId="0" borderId="0" xfId="0" applyFont="1"/>
    <xf numFmtId="0" fontId="16" fillId="0" borderId="6" xfId="0" applyFont="1" applyBorder="1" applyAlignment="1">
      <alignment horizontal="center"/>
    </xf>
    <xf numFmtId="1" fontId="16" fillId="0" borderId="15" xfId="0" applyNumberFormat="1" applyFont="1" applyBorder="1" applyAlignment="1">
      <alignment horizontal="center"/>
    </xf>
    <xf numFmtId="0" fontId="16" fillId="0" borderId="6" xfId="0" applyFont="1" applyBorder="1"/>
    <xf numFmtId="1" fontId="16" fillId="0" borderId="16" xfId="0" applyNumberFormat="1" applyFont="1" applyBorder="1" applyAlignment="1">
      <alignment horizontal="center"/>
    </xf>
    <xf numFmtId="0" fontId="29" fillId="0" borderId="6" xfId="0" applyFont="1" applyBorder="1" applyAlignment="1">
      <alignment horizontal="center"/>
    </xf>
    <xf numFmtId="1" fontId="29" fillId="0" borderId="16" xfId="0" applyNumberFormat="1" applyFont="1" applyBorder="1" applyAlignment="1">
      <alignment horizontal="center"/>
    </xf>
    <xf numFmtId="0" fontId="29" fillId="0" borderId="6" xfId="0" applyFont="1" applyBorder="1"/>
    <xf numFmtId="0" fontId="29" fillId="0" borderId="21" xfId="0" applyFont="1" applyBorder="1" applyAlignment="1">
      <alignment horizontal="center"/>
    </xf>
    <xf numFmtId="0" fontId="34" fillId="0" borderId="21" xfId="0" applyFont="1" applyBorder="1"/>
    <xf numFmtId="0" fontId="34" fillId="0" borderId="21" xfId="0" applyFont="1" applyBorder="1" applyAlignment="1">
      <alignment horizontal="center"/>
    </xf>
    <xf numFmtId="1" fontId="29" fillId="0" borderId="21" xfId="0" applyNumberFormat="1" applyFont="1" applyBorder="1" applyAlignment="1">
      <alignment horizontal="center"/>
    </xf>
    <xf numFmtId="164" fontId="29" fillId="0" borderId="21" xfId="0" applyNumberFormat="1" applyFont="1" applyBorder="1"/>
    <xf numFmtId="1" fontId="29" fillId="0" borderId="21" xfId="0" applyNumberFormat="1" applyFont="1" applyBorder="1"/>
    <xf numFmtId="44" fontId="29" fillId="0" borderId="0" xfId="0" applyNumberFormat="1" applyFont="1"/>
    <xf numFmtId="0" fontId="34" fillId="0" borderId="17" xfId="0" applyFont="1" applyBorder="1"/>
    <xf numFmtId="0" fontId="34" fillId="0" borderId="13" xfId="0" applyFont="1" applyBorder="1"/>
    <xf numFmtId="0" fontId="34" fillId="0" borderId="21" xfId="0" applyFont="1" applyBorder="1" applyAlignment="1">
      <alignment horizontal="right"/>
    </xf>
    <xf numFmtId="0" fontId="29" fillId="0" borderId="7" xfId="0" applyFont="1" applyBorder="1" applyAlignment="1">
      <alignment horizontal="center"/>
    </xf>
    <xf numFmtId="0" fontId="29" fillId="0" borderId="15" xfId="0" applyFont="1" applyBorder="1"/>
    <xf numFmtId="0" fontId="29" fillId="0" borderId="0" xfId="0" applyFont="1" applyAlignment="1">
      <alignment horizontal="center"/>
    </xf>
    <xf numFmtId="0" fontId="29" fillId="0" borderId="16" xfId="0" applyFont="1" applyBorder="1"/>
    <xf numFmtId="0" fontId="29" fillId="0" borderId="17" xfId="0" applyFont="1" applyBorder="1"/>
    <xf numFmtId="0" fontId="34" fillId="0" borderId="16" xfId="0" applyFont="1" applyBorder="1"/>
    <xf numFmtId="0" fontId="16" fillId="0" borderId="7" xfId="0" applyFont="1" applyBorder="1"/>
    <xf numFmtId="0" fontId="16" fillId="0" borderId="0" xfId="0" applyFont="1" applyAlignment="1">
      <alignment horizontal="center"/>
    </xf>
    <xf numFmtId="0" fontId="25" fillId="0" borderId="16" xfId="0" applyFont="1" applyBorder="1"/>
    <xf numFmtId="0" fontId="29" fillId="0" borderId="15" xfId="0" quotePrefix="1" applyFont="1" applyBorder="1"/>
    <xf numFmtId="0" fontId="29" fillId="0" borderId="16" xfId="0" quotePrefix="1" applyFont="1" applyBorder="1"/>
    <xf numFmtId="0" fontId="29" fillId="0" borderId="17" xfId="0" quotePrefix="1" applyFont="1" applyBorder="1"/>
    <xf numFmtId="1" fontId="16" fillId="0" borderId="17" xfId="0" applyNumberFormat="1" applyFont="1" applyBorder="1" applyAlignment="1">
      <alignment horizontal="center"/>
    </xf>
    <xf numFmtId="0" fontId="16" fillId="0" borderId="24" xfId="0" applyFont="1" applyBorder="1"/>
    <xf numFmtId="0" fontId="16" fillId="0" borderId="54" xfId="0" applyFont="1" applyBorder="1"/>
    <xf numFmtId="0" fontId="16" fillId="0" borderId="23" xfId="0" applyFont="1" applyBorder="1"/>
    <xf numFmtId="0" fontId="16" fillId="0" borderId="19" xfId="0" applyFont="1" applyBorder="1"/>
    <xf numFmtId="0" fontId="16" fillId="0" borderId="27" xfId="0" applyFont="1" applyBorder="1"/>
    <xf numFmtId="0" fontId="16" fillId="0" borderId="55" xfId="0" applyFont="1" applyBorder="1"/>
    <xf numFmtId="0" fontId="29" fillId="0" borderId="3" xfId="0" applyFont="1" applyBorder="1"/>
    <xf numFmtId="0" fontId="29" fillId="0" borderId="7" xfId="0" applyFont="1" applyBorder="1"/>
    <xf numFmtId="0" fontId="29" fillId="0" borderId="14" xfId="0" applyFont="1" applyBorder="1"/>
    <xf numFmtId="0" fontId="12" fillId="0" borderId="28" xfId="4" applyFont="1" applyBorder="1"/>
    <xf numFmtId="0" fontId="12" fillId="0" borderId="53" xfId="4" applyFont="1" applyBorder="1"/>
    <xf numFmtId="0" fontId="12" fillId="0" borderId="64" xfId="4" applyFont="1" applyBorder="1"/>
    <xf numFmtId="0" fontId="12" fillId="0" borderId="23" xfId="4" applyFont="1" applyBorder="1"/>
    <xf numFmtId="0" fontId="12" fillId="8" borderId="5" xfId="4" applyFont="1" applyFill="1" applyBorder="1"/>
    <xf numFmtId="0" fontId="12" fillId="8" borderId="19" xfId="4" applyFont="1" applyFill="1" applyBorder="1"/>
    <xf numFmtId="14" fontId="16" fillId="8" borderId="0" xfId="0" applyNumberFormat="1" applyFont="1" applyFill="1"/>
    <xf numFmtId="0" fontId="7" fillId="8" borderId="0" xfId="4" applyFont="1" applyFill="1"/>
    <xf numFmtId="49" fontId="16" fillId="8" borderId="0" xfId="0" applyNumberFormat="1" applyFont="1" applyFill="1"/>
    <xf numFmtId="0" fontId="16" fillId="8" borderId="4" xfId="0" applyFont="1" applyFill="1" applyBorder="1"/>
    <xf numFmtId="0" fontId="8" fillId="8" borderId="0" xfId="4" applyFont="1" applyFill="1"/>
    <xf numFmtId="14" fontId="16" fillId="8" borderId="8" xfId="0" applyNumberFormat="1" applyFont="1" applyFill="1" applyBorder="1"/>
    <xf numFmtId="0" fontId="7" fillId="8" borderId="8" xfId="4" applyFont="1" applyFill="1" applyBorder="1"/>
    <xf numFmtId="49" fontId="16" fillId="8" borderId="8" xfId="0" applyNumberFormat="1" applyFont="1" applyFill="1" applyBorder="1"/>
    <xf numFmtId="0" fontId="16" fillId="8" borderId="9" xfId="0" applyFont="1" applyFill="1" applyBorder="1"/>
    <xf numFmtId="0" fontId="12" fillId="8" borderId="62" xfId="4" applyFont="1" applyFill="1" applyBorder="1"/>
    <xf numFmtId="0" fontId="12" fillId="8" borderId="54" xfId="4" applyFont="1" applyFill="1" applyBorder="1"/>
    <xf numFmtId="0" fontId="13" fillId="8" borderId="5" xfId="4" applyFont="1" applyFill="1" applyBorder="1"/>
    <xf numFmtId="0" fontId="14" fillId="8" borderId="5" xfId="4" applyFont="1" applyFill="1" applyBorder="1"/>
    <xf numFmtId="0" fontId="14" fillId="8" borderId="19" xfId="4" applyFont="1" applyFill="1" applyBorder="1"/>
    <xf numFmtId="0" fontId="11" fillId="8" borderId="0" xfId="4" applyFont="1" applyFill="1" applyAlignment="1">
      <alignment horizontal="right"/>
    </xf>
    <xf numFmtId="0" fontId="16" fillId="8" borderId="0" xfId="0" applyFont="1" applyFill="1"/>
    <xf numFmtId="0" fontId="11" fillId="8" borderId="8" xfId="4" applyFont="1" applyFill="1" applyBorder="1" applyAlignment="1">
      <alignment horizontal="right"/>
    </xf>
    <xf numFmtId="0" fontId="16" fillId="8" borderId="8" xfId="0" applyFont="1" applyFill="1" applyBorder="1"/>
    <xf numFmtId="0" fontId="13" fillId="8" borderId="53" xfId="4" applyFont="1" applyFill="1" applyBorder="1"/>
    <xf numFmtId="0" fontId="14" fillId="8" borderId="53" xfId="4" applyFont="1" applyFill="1" applyBorder="1"/>
    <xf numFmtId="0" fontId="14" fillId="8" borderId="64" xfId="4" applyFont="1" applyFill="1" applyBorder="1"/>
    <xf numFmtId="0" fontId="29" fillId="8" borderId="0" xfId="0" applyFont="1" applyFill="1"/>
    <xf numFmtId="0" fontId="13" fillId="8" borderId="62" xfId="4" applyFont="1" applyFill="1" applyBorder="1"/>
    <xf numFmtId="0" fontId="14" fillId="8" borderId="62" xfId="4" applyFont="1" applyFill="1" applyBorder="1"/>
    <xf numFmtId="0" fontId="14" fillId="8" borderId="54" xfId="4" applyFont="1" applyFill="1" applyBorder="1"/>
    <xf numFmtId="0" fontId="35" fillId="0" borderId="0" xfId="0" applyFont="1"/>
    <xf numFmtId="0" fontId="16" fillId="0" borderId="13" xfId="0" applyFont="1" applyBorder="1"/>
    <xf numFmtId="0" fontId="16" fillId="0" borderId="47" xfId="0" applyFont="1" applyBorder="1"/>
    <xf numFmtId="166" fontId="16" fillId="8" borderId="21" xfId="7" applyNumberFormat="1" applyFont="1" applyFill="1" applyBorder="1" applyAlignment="1" applyProtection="1">
      <alignment horizontal="center"/>
      <protection locked="0"/>
    </xf>
    <xf numFmtId="166" fontId="16" fillId="8" borderId="40" xfId="7" applyNumberFormat="1" applyFont="1" applyFill="1" applyBorder="1" applyAlignment="1" applyProtection="1">
      <alignment horizontal="center"/>
      <protection locked="0"/>
    </xf>
    <xf numFmtId="14" fontId="31" fillId="0" borderId="0" xfId="0" applyNumberFormat="1" applyFont="1"/>
    <xf numFmtId="0" fontId="12" fillId="0" borderId="24" xfId="4" applyFont="1" applyBorder="1"/>
    <xf numFmtId="44" fontId="16" fillId="8" borderId="23" xfId="0" applyNumberFormat="1" applyFont="1" applyFill="1" applyBorder="1" applyAlignment="1">
      <alignment vertical="center" wrapText="1"/>
    </xf>
    <xf numFmtId="165" fontId="16" fillId="8" borderId="23" xfId="0" applyNumberFormat="1" applyFont="1" applyFill="1" applyBorder="1" applyAlignment="1">
      <alignment vertical="center" wrapText="1"/>
    </xf>
    <xf numFmtId="0" fontId="0" fillId="0" borderId="38" xfId="0" applyBorder="1" applyAlignment="1" applyProtection="1">
      <alignment horizontal="center"/>
      <protection locked="0"/>
    </xf>
    <xf numFmtId="0" fontId="0" fillId="0" borderId="50" xfId="0" applyBorder="1" applyAlignment="1" applyProtection="1">
      <alignment horizontal="center"/>
      <protection locked="0"/>
    </xf>
    <xf numFmtId="0" fontId="0" fillId="0" borderId="5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8" xfId="0" applyBorder="1" applyAlignment="1" applyProtection="1">
      <alignment horizontal="center"/>
      <protection locked="0"/>
    </xf>
    <xf numFmtId="0" fontId="0" fillId="4" borderId="15" xfId="0" applyFill="1" applyBorder="1" applyProtection="1">
      <protection locked="0"/>
    </xf>
    <xf numFmtId="0" fontId="0" fillId="4" borderId="16" xfId="0" applyFill="1" applyBorder="1" applyProtection="1">
      <protection locked="0"/>
    </xf>
    <xf numFmtId="0" fontId="0" fillId="4" borderId="17" xfId="0" applyFill="1" applyBorder="1" applyProtection="1">
      <protection locked="0"/>
    </xf>
    <xf numFmtId="0" fontId="0" fillId="0" borderId="27" xfId="0" applyBorder="1"/>
    <xf numFmtId="0" fontId="0" fillId="4" borderId="65" xfId="0" applyFill="1" applyBorder="1" applyAlignment="1" applyProtection="1">
      <alignment horizontal="center"/>
      <protection locked="0"/>
    </xf>
    <xf numFmtId="0" fontId="36" fillId="8" borderId="0" xfId="4" applyFont="1" applyFill="1"/>
    <xf numFmtId="0" fontId="28" fillId="0" borderId="0" xfId="0" applyFont="1" applyAlignment="1">
      <alignment horizontal="center"/>
    </xf>
    <xf numFmtId="0" fontId="28" fillId="0" borderId="0" xfId="0" applyFont="1"/>
    <xf numFmtId="44" fontId="27" fillId="0" borderId="2" xfId="0" applyNumberFormat="1" applyFont="1" applyBorder="1" applyAlignment="1">
      <alignment horizontal="right"/>
    </xf>
    <xf numFmtId="44" fontId="27" fillId="0" borderId="2" xfId="0" applyNumberFormat="1" applyFont="1" applyBorder="1" applyAlignment="1">
      <alignment horizontal="center"/>
    </xf>
    <xf numFmtId="44" fontId="27" fillId="0" borderId="1" xfId="0" applyNumberFormat="1" applyFont="1" applyBorder="1" applyProtection="1">
      <protection locked="0"/>
    </xf>
    <xf numFmtId="44" fontId="27" fillId="0" borderId="0" xfId="0" applyNumberFormat="1" applyFont="1" applyAlignment="1">
      <alignment horizontal="right"/>
    </xf>
    <xf numFmtId="44" fontId="27" fillId="0" borderId="0" xfId="0" applyNumberFormat="1" applyFont="1" applyAlignment="1">
      <alignment horizontal="center"/>
    </xf>
    <xf numFmtId="44" fontId="27" fillId="0" borderId="4" xfId="0" applyNumberFormat="1" applyFont="1" applyBorder="1" applyProtection="1">
      <protection locked="0"/>
    </xf>
    <xf numFmtId="44" fontId="27" fillId="0" borderId="8" xfId="0" applyNumberFormat="1" applyFont="1" applyBorder="1" applyAlignment="1">
      <alignment horizontal="right"/>
    </xf>
    <xf numFmtId="44" fontId="27" fillId="0" borderId="8" xfId="0" applyNumberFormat="1" applyFont="1" applyBorder="1" applyAlignment="1">
      <alignment horizontal="center"/>
    </xf>
    <xf numFmtId="44" fontId="27" fillId="0" borderId="9" xfId="0" applyNumberFormat="1" applyFont="1" applyBorder="1" applyProtection="1">
      <protection locked="0"/>
    </xf>
    <xf numFmtId="0" fontId="28" fillId="0" borderId="9" xfId="0" applyFont="1" applyBorder="1" applyAlignment="1">
      <alignment horizontal="centerContinuous"/>
    </xf>
    <xf numFmtId="0" fontId="37" fillId="0" borderId="0" xfId="1" applyFont="1" applyBorder="1" applyProtection="1"/>
    <xf numFmtId="0" fontId="26" fillId="0" borderId="23" xfId="0" applyFont="1" applyBorder="1" applyAlignment="1">
      <alignment vertical="top"/>
    </xf>
    <xf numFmtId="0" fontId="25" fillId="0" borderId="16" xfId="0" quotePrefix="1" applyFont="1" applyBorder="1"/>
    <xf numFmtId="0" fontId="25" fillId="0" borderId="17" xfId="0" quotePrefix="1" applyFont="1" applyBorder="1"/>
    <xf numFmtId="0" fontId="17" fillId="9" borderId="14" xfId="0" applyFont="1" applyFill="1" applyBorder="1" applyAlignment="1">
      <alignment horizontal="center"/>
    </xf>
    <xf numFmtId="0" fontId="2" fillId="0" borderId="52" xfId="0" applyFont="1" applyBorder="1" applyAlignment="1">
      <alignment horizontal="centerContinuous"/>
    </xf>
    <xf numFmtId="0" fontId="17" fillId="0" borderId="0" xfId="2" applyFont="1" applyProtection="1"/>
    <xf numFmtId="43" fontId="0" fillId="0" borderId="2" xfId="0" applyNumberFormat="1" applyBorder="1" applyProtection="1">
      <protection locked="0"/>
    </xf>
    <xf numFmtId="43" fontId="0" fillId="0" borderId="0" xfId="0" applyNumberFormat="1" applyProtection="1">
      <protection locked="0"/>
    </xf>
    <xf numFmtId="43" fontId="0" fillId="0" borderId="8" xfId="0" applyNumberFormat="1" applyBorder="1" applyProtection="1">
      <protection locked="0"/>
    </xf>
    <xf numFmtId="0" fontId="29" fillId="10" borderId="6" xfId="0" applyFont="1" applyFill="1" applyBorder="1" applyAlignment="1">
      <alignment horizontal="left"/>
    </xf>
    <xf numFmtId="44" fontId="29" fillId="10" borderId="44" xfId="0" applyNumberFormat="1" applyFont="1" applyFill="1" applyBorder="1" applyAlignment="1">
      <alignment horizontal="left"/>
    </xf>
    <xf numFmtId="0" fontId="0" fillId="0" borderId="56" xfId="0" applyBorder="1" applyAlignment="1">
      <alignment vertical="top" wrapText="1"/>
    </xf>
    <xf numFmtId="0" fontId="16" fillId="0" borderId="21" xfId="0" applyFont="1" applyBorder="1"/>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0" fontId="0" fillId="0" borderId="9" xfId="0" applyBorder="1" applyAlignment="1" applyProtection="1">
      <alignment horizontal="center"/>
      <protection locked="0"/>
    </xf>
    <xf numFmtId="166" fontId="29" fillId="11" borderId="23" xfId="7" applyNumberFormat="1" applyFont="1" applyFill="1" applyBorder="1" applyAlignment="1">
      <alignment vertical="center" wrapText="1"/>
    </xf>
    <xf numFmtId="166" fontId="16" fillId="11" borderId="23" xfId="7" applyNumberFormat="1" applyFont="1" applyFill="1" applyBorder="1" applyAlignment="1">
      <alignment vertical="center" wrapText="1"/>
    </xf>
    <xf numFmtId="44" fontId="16" fillId="11" borderId="23" xfId="0" applyNumberFormat="1" applyFont="1" applyFill="1" applyBorder="1" applyAlignment="1">
      <alignment vertical="center" wrapText="1"/>
    </xf>
    <xf numFmtId="0" fontId="16" fillId="11" borderId="23" xfId="0" applyFont="1" applyFill="1" applyBorder="1" applyAlignment="1">
      <alignment vertical="center" wrapText="1"/>
    </xf>
    <xf numFmtId="165" fontId="16" fillId="11" borderId="23" xfId="0" applyNumberFormat="1" applyFont="1" applyFill="1" applyBorder="1" applyAlignment="1">
      <alignment vertical="center" wrapText="1"/>
    </xf>
    <xf numFmtId="0" fontId="16" fillId="10" borderId="23" xfId="0" applyFont="1" applyFill="1" applyBorder="1" applyAlignment="1">
      <alignment vertical="center" wrapText="1"/>
    </xf>
    <xf numFmtId="44" fontId="16" fillId="10" borderId="23" xfId="0" applyNumberFormat="1" applyFont="1" applyFill="1" applyBorder="1" applyAlignment="1">
      <alignment vertical="center" wrapText="1"/>
    </xf>
    <xf numFmtId="166" fontId="29" fillId="10" borderId="23" xfId="7" applyNumberFormat="1" applyFont="1" applyFill="1" applyBorder="1" applyAlignment="1">
      <alignment vertical="center" wrapText="1"/>
    </xf>
    <xf numFmtId="166" fontId="16" fillId="10" borderId="23" xfId="7" applyNumberFormat="1" applyFont="1" applyFill="1" applyBorder="1" applyAlignment="1">
      <alignment vertical="center" wrapText="1"/>
    </xf>
    <xf numFmtId="165" fontId="16" fillId="10" borderId="23" xfId="0" applyNumberFormat="1" applyFont="1" applyFill="1" applyBorder="1" applyAlignment="1">
      <alignment vertical="center" wrapText="1"/>
    </xf>
    <xf numFmtId="0" fontId="0" fillId="10" borderId="0" xfId="0" applyFill="1"/>
    <xf numFmtId="0" fontId="16" fillId="0" borderId="53" xfId="0" applyFont="1" applyBorder="1"/>
    <xf numFmtId="0" fontId="22" fillId="2" borderId="0" xfId="0" applyFont="1" applyFill="1"/>
    <xf numFmtId="0" fontId="17" fillId="2" borderId="49" xfId="0" applyFont="1" applyFill="1" applyBorder="1"/>
    <xf numFmtId="0" fontId="38" fillId="2" borderId="0" xfId="0" applyFont="1" applyFill="1" applyAlignment="1">
      <alignment horizontal="center"/>
    </xf>
    <xf numFmtId="0" fontId="0" fillId="4" borderId="15" xfId="0" applyFill="1" applyBorder="1" applyAlignment="1" applyProtection="1">
      <alignment horizontal="left"/>
      <protection locked="0"/>
    </xf>
    <xf numFmtId="0" fontId="0" fillId="4" borderId="16" xfId="0" applyFill="1" applyBorder="1" applyAlignment="1" applyProtection="1">
      <alignment horizontal="left"/>
      <protection locked="0"/>
    </xf>
    <xf numFmtId="0" fontId="0" fillId="4" borderId="17" xfId="0" applyFill="1" applyBorder="1" applyAlignment="1" applyProtection="1">
      <alignment horizontal="left"/>
      <protection locked="0"/>
    </xf>
    <xf numFmtId="0" fontId="0" fillId="12" borderId="0" xfId="0" applyFill="1"/>
    <xf numFmtId="44" fontId="29" fillId="13" borderId="23" xfId="0" applyNumberFormat="1" applyFont="1" applyFill="1" applyBorder="1" applyAlignment="1">
      <alignment vertical="center" wrapText="1"/>
    </xf>
    <xf numFmtId="44" fontId="16" fillId="13" borderId="23" xfId="0" applyNumberFormat="1" applyFont="1" applyFill="1" applyBorder="1" applyAlignment="1">
      <alignment vertical="center" wrapText="1"/>
    </xf>
    <xf numFmtId="0" fontId="0" fillId="0" borderId="0" xfId="0" applyAlignment="1">
      <alignment vertical="center"/>
    </xf>
    <xf numFmtId="0" fontId="0" fillId="0" borderId="8" xfId="0" applyBorder="1" applyAlignment="1">
      <alignment vertical="center"/>
    </xf>
    <xf numFmtId="0" fontId="16" fillId="8" borderId="23" xfId="0" applyFont="1" applyFill="1" applyBorder="1" applyAlignment="1">
      <alignment vertical="center" wrapText="1"/>
    </xf>
    <xf numFmtId="44" fontId="27" fillId="0" borderId="0" xfId="0" applyNumberFormat="1" applyFont="1"/>
    <xf numFmtId="0" fontId="38" fillId="0" borderId="0" xfId="0" applyFont="1" applyAlignment="1">
      <alignment horizontal="center" vertical="center"/>
    </xf>
    <xf numFmtId="173" fontId="22" fillId="0" borderId="0" xfId="0" applyNumberFormat="1" applyFont="1" applyAlignment="1">
      <alignment horizontal="center"/>
    </xf>
    <xf numFmtId="0" fontId="22" fillId="0" borderId="0" xfId="0" applyFont="1" applyAlignment="1">
      <alignment horizontal="center"/>
    </xf>
    <xf numFmtId="14" fontId="22" fillId="0" borderId="0" xfId="0" applyNumberFormat="1" applyFont="1" applyAlignment="1">
      <alignment horizontal="center"/>
    </xf>
    <xf numFmtId="166" fontId="22" fillId="0" borderId="0" xfId="7" applyNumberFormat="1" applyFont="1" applyFill="1" applyBorder="1" applyAlignment="1" applyProtection="1">
      <alignment horizontal="center"/>
    </xf>
    <xf numFmtId="0" fontId="22" fillId="0" borderId="0" xfId="0" applyFont="1" applyAlignment="1" applyProtection="1">
      <alignment horizontal="center"/>
      <protection locked="0"/>
    </xf>
    <xf numFmtId="0" fontId="22" fillId="3" borderId="0" xfId="0" applyFont="1" applyFill="1" applyAlignment="1">
      <alignment horizontal="center"/>
    </xf>
    <xf numFmtId="44" fontId="0" fillId="13" borderId="16" xfId="0" applyNumberFormat="1" applyFill="1" applyBorder="1"/>
    <xf numFmtId="0" fontId="29" fillId="0" borderId="44" xfId="0" applyFont="1" applyBorder="1" applyAlignment="1">
      <alignment horizontal="left"/>
    </xf>
    <xf numFmtId="0" fontId="29" fillId="0" borderId="45" xfId="0" applyFont="1" applyBorder="1" applyAlignment="1">
      <alignment horizontal="left"/>
    </xf>
    <xf numFmtId="44" fontId="0" fillId="13" borderId="3" xfId="0" applyNumberFormat="1" applyFill="1" applyBorder="1"/>
    <xf numFmtId="44" fontId="0" fillId="13" borderId="6" xfId="0" applyNumberFormat="1" applyFill="1" applyBorder="1"/>
    <xf numFmtId="44" fontId="0" fillId="13" borderId="7" xfId="0" applyNumberFormat="1" applyFill="1" applyBorder="1"/>
    <xf numFmtId="0" fontId="44" fillId="14" borderId="0" xfId="8" applyProtection="1"/>
    <xf numFmtId="14" fontId="44" fillId="14" borderId="0" xfId="8" applyNumberFormat="1" applyBorder="1" applyAlignment="1" applyProtection="1">
      <alignment horizontal="right"/>
    </xf>
    <xf numFmtId="44" fontId="17" fillId="0" borderId="0" xfId="0" applyNumberFormat="1" applyFont="1" applyAlignment="1">
      <alignment horizontal="center"/>
    </xf>
    <xf numFmtId="0" fontId="44" fillId="14" borderId="0" xfId="8" applyBorder="1" applyAlignment="1" applyProtection="1">
      <alignment horizontal="center"/>
    </xf>
    <xf numFmtId="44" fontId="22" fillId="0" borderId="0" xfId="0" applyNumberFormat="1" applyFont="1"/>
    <xf numFmtId="0" fontId="44" fillId="14" borderId="0" xfId="8" applyBorder="1" applyAlignment="1" applyProtection="1"/>
    <xf numFmtId="0" fontId="0" fillId="0" borderId="0" xfId="0" pivotButton="1"/>
    <xf numFmtId="0" fontId="45" fillId="0" borderId="0" xfId="0" applyFont="1"/>
    <xf numFmtId="0" fontId="0" fillId="15" borderId="0" xfId="0" applyFill="1"/>
    <xf numFmtId="0" fontId="42" fillId="0" borderId="0" xfId="0" applyFont="1"/>
    <xf numFmtId="0" fontId="0" fillId="18" borderId="0" xfId="0" applyFill="1"/>
    <xf numFmtId="0" fontId="0" fillId="11" borderId="0" xfId="0" applyFill="1"/>
    <xf numFmtId="0" fontId="6" fillId="0" borderId="0" xfId="4"/>
    <xf numFmtId="0" fontId="6" fillId="0" borderId="0" xfId="4" applyAlignment="1">
      <alignment wrapText="1"/>
    </xf>
    <xf numFmtId="0" fontId="47" fillId="20" borderId="0" xfId="4" applyFont="1" applyFill="1" applyAlignment="1">
      <alignment horizontal="center"/>
    </xf>
    <xf numFmtId="0" fontId="47" fillId="16" borderId="0" xfId="4" applyFont="1" applyFill="1" applyAlignment="1">
      <alignment horizontal="center"/>
    </xf>
    <xf numFmtId="0" fontId="47" fillId="0" borderId="0" xfId="4" applyFont="1"/>
    <xf numFmtId="0" fontId="50" fillId="0" borderId="0" xfId="4" applyFont="1"/>
    <xf numFmtId="0" fontId="47" fillId="21" borderId="0" xfId="4" applyFont="1" applyFill="1" applyAlignment="1">
      <alignment horizontal="right"/>
    </xf>
    <xf numFmtId="0" fontId="6" fillId="21" borderId="0" xfId="4" applyFill="1" applyAlignment="1">
      <alignment horizontal="right"/>
    </xf>
    <xf numFmtId="0" fontId="2" fillId="21" borderId="10" xfId="0" applyFont="1" applyFill="1" applyBorder="1" applyAlignment="1">
      <alignment horizontal="centerContinuous"/>
    </xf>
    <xf numFmtId="0" fontId="2" fillId="21" borderId="11" xfId="0" applyFont="1" applyFill="1" applyBorder="1" applyAlignment="1">
      <alignment horizontal="centerContinuous"/>
    </xf>
    <xf numFmtId="0" fontId="2" fillId="21" borderId="12" xfId="0" applyFont="1" applyFill="1" applyBorder="1" applyAlignment="1">
      <alignment horizontal="centerContinuous"/>
    </xf>
    <xf numFmtId="0" fontId="2" fillId="21" borderId="3" xfId="0" applyFont="1" applyFill="1" applyBorder="1" applyAlignment="1">
      <alignment horizontal="centerContinuous"/>
    </xf>
    <xf numFmtId="0" fontId="2" fillId="21" borderId="2" xfId="0" applyFont="1" applyFill="1" applyBorder="1" applyAlignment="1">
      <alignment horizontal="centerContinuous"/>
    </xf>
    <xf numFmtId="0" fontId="2" fillId="21" borderId="1" xfId="0" applyFont="1" applyFill="1" applyBorder="1" applyAlignment="1">
      <alignment horizontal="centerContinuous"/>
    </xf>
    <xf numFmtId="0" fontId="43" fillId="21" borderId="0" xfId="0" applyFont="1" applyFill="1" applyAlignment="1">
      <alignment horizontal="right"/>
    </xf>
    <xf numFmtId="166" fontId="47" fillId="0" borderId="0" xfId="7" applyNumberFormat="1" applyFont="1"/>
    <xf numFmtId="0" fontId="32" fillId="0" borderId="0" xfId="4" applyFont="1"/>
    <xf numFmtId="0" fontId="6" fillId="0" borderId="0" xfId="4" applyAlignment="1">
      <alignment horizontal="left" indent="2"/>
    </xf>
    <xf numFmtId="14" fontId="2" fillId="23" borderId="66" xfId="0" applyNumberFormat="1" applyFont="1" applyFill="1" applyBorder="1"/>
    <xf numFmtId="44" fontId="29" fillId="22" borderId="21" xfId="5" applyFont="1" applyFill="1" applyBorder="1" applyAlignment="1" applyProtection="1">
      <alignment horizontal="center"/>
    </xf>
    <xf numFmtId="166" fontId="0" fillId="0" borderId="0" xfId="7" applyNumberFormat="1" applyFont="1" applyAlignment="1">
      <alignment horizontal="right"/>
    </xf>
    <xf numFmtId="167" fontId="0" fillId="0" borderId="0" xfId="7" applyNumberFormat="1" applyFont="1"/>
    <xf numFmtId="166" fontId="0" fillId="16" borderId="0" xfId="7" applyNumberFormat="1" applyFont="1" applyFill="1"/>
    <xf numFmtId="0" fontId="0" fillId="16" borderId="0" xfId="0" applyFill="1"/>
    <xf numFmtId="167" fontId="2" fillId="0" borderId="0" xfId="7" applyNumberFormat="1" applyFont="1"/>
    <xf numFmtId="167" fontId="0" fillId="0" borderId="0" xfId="7" applyNumberFormat="1" applyFont="1" applyAlignment="1">
      <alignment horizontal="right"/>
    </xf>
    <xf numFmtId="0" fontId="0" fillId="0" borderId="0" xfId="0" applyAlignment="1">
      <alignment horizontal="left"/>
    </xf>
    <xf numFmtId="0" fontId="0" fillId="0" borderId="0" xfId="0" applyAlignment="1">
      <alignment horizontal="left" indent="1"/>
    </xf>
    <xf numFmtId="0" fontId="29" fillId="24" borderId="0" xfId="0" applyFont="1" applyFill="1"/>
    <xf numFmtId="0" fontId="29" fillId="19" borderId="0" xfId="0" applyFont="1" applyFill="1"/>
    <xf numFmtId="0" fontId="29" fillId="25" borderId="0" xfId="0" applyFont="1" applyFill="1"/>
    <xf numFmtId="0" fontId="29" fillId="16" borderId="0" xfId="0" applyFont="1" applyFill="1"/>
    <xf numFmtId="0" fontId="29" fillId="9" borderId="0" xfId="0" applyFont="1" applyFill="1"/>
    <xf numFmtId="0" fontId="29" fillId="26" borderId="0" xfId="0" applyFont="1" applyFill="1"/>
    <xf numFmtId="0" fontId="16" fillId="16" borderId="3" xfId="0" applyFont="1" applyFill="1" applyBorder="1" applyAlignment="1">
      <alignment horizontal="left"/>
    </xf>
    <xf numFmtId="0" fontId="16" fillId="16" borderId="6" xfId="0" applyFont="1" applyFill="1" applyBorder="1" applyAlignment="1">
      <alignment horizontal="left"/>
    </xf>
    <xf numFmtId="0" fontId="29" fillId="24" borderId="6" xfId="0" applyFont="1" applyFill="1" applyBorder="1" applyAlignment="1">
      <alignment horizontal="left"/>
    </xf>
    <xf numFmtId="0" fontId="29" fillId="19" borderId="6" xfId="0" applyFont="1" applyFill="1" applyBorder="1" applyAlignment="1">
      <alignment horizontal="left"/>
    </xf>
    <xf numFmtId="0" fontId="29" fillId="25" borderId="6" xfId="0" applyFont="1" applyFill="1" applyBorder="1" applyAlignment="1">
      <alignment horizontal="left"/>
    </xf>
    <xf numFmtId="0" fontId="29" fillId="25" borderId="7" xfId="0" applyFont="1" applyFill="1" applyBorder="1" applyAlignment="1">
      <alignment horizontal="left"/>
    </xf>
    <xf numFmtId="0" fontId="29" fillId="9" borderId="6" xfId="0" applyFont="1" applyFill="1" applyBorder="1" applyAlignment="1">
      <alignment horizontal="left"/>
    </xf>
    <xf numFmtId="0" fontId="29" fillId="26" borderId="6" xfId="0" applyFont="1" applyFill="1" applyBorder="1" applyAlignment="1">
      <alignment horizontal="left"/>
    </xf>
    <xf numFmtId="0" fontId="27" fillId="0" borderId="3" xfId="0" applyFont="1" applyBorder="1"/>
    <xf numFmtId="0" fontId="27" fillId="0" borderId="1" xfId="0" applyFont="1" applyBorder="1"/>
    <xf numFmtId="0" fontId="27" fillId="0" borderId="6" xfId="0" applyFont="1" applyBorder="1"/>
    <xf numFmtId="0" fontId="27" fillId="0" borderId="4" xfId="0" applyFont="1" applyBorder="1"/>
    <xf numFmtId="0" fontId="27" fillId="0" borderId="7" xfId="0" applyFont="1" applyBorder="1"/>
    <xf numFmtId="0" fontId="27" fillId="0" borderId="9" xfId="0" applyFont="1" applyBorder="1"/>
    <xf numFmtId="44" fontId="27" fillId="0" borderId="0" xfId="5" applyFont="1" applyBorder="1" applyProtection="1"/>
    <xf numFmtId="0" fontId="27" fillId="0" borderId="2" xfId="0" applyFont="1" applyBorder="1" applyAlignment="1">
      <alignment horizontal="center"/>
    </xf>
    <xf numFmtId="0" fontId="0" fillId="0" borderId="2" xfId="0" applyBorder="1" applyAlignment="1">
      <alignment horizontal="center"/>
    </xf>
    <xf numFmtId="0" fontId="0" fillId="0" borderId="8" xfId="0" applyBorder="1" applyAlignment="1">
      <alignment horizontal="center"/>
    </xf>
    <xf numFmtId="9" fontId="27" fillId="0" borderId="0" xfId="7" applyFont="1" applyBorder="1" applyProtection="1"/>
    <xf numFmtId="44" fontId="27" fillId="21" borderId="0" xfId="5" applyFont="1" applyFill="1" applyBorder="1" applyProtection="1"/>
    <xf numFmtId="0" fontId="13" fillId="21" borderId="21" xfId="4" applyFont="1" applyFill="1" applyBorder="1" applyAlignment="1">
      <alignment horizontal="center"/>
    </xf>
    <xf numFmtId="0" fontId="0" fillId="21" borderId="0" xfId="0" applyFill="1"/>
    <xf numFmtId="44" fontId="0" fillId="21" borderId="4" xfId="0" applyNumberFormat="1" applyFill="1" applyBorder="1"/>
    <xf numFmtId="0" fontId="13" fillId="21" borderId="17" xfId="4" applyFont="1" applyFill="1" applyBorder="1" applyAlignment="1">
      <alignment horizontal="center"/>
    </xf>
    <xf numFmtId="0" fontId="13" fillId="0" borderId="0" xfId="4" applyFont="1" applyAlignment="1">
      <alignment horizontal="center"/>
    </xf>
    <xf numFmtId="44" fontId="0" fillId="21" borderId="16" xfId="0" applyNumberFormat="1" applyFill="1" applyBorder="1"/>
    <xf numFmtId="0" fontId="16" fillId="21" borderId="34" xfId="0" applyFont="1" applyFill="1" applyBorder="1"/>
    <xf numFmtId="0" fontId="34" fillId="11" borderId="21" xfId="0" applyFont="1" applyFill="1" applyBorder="1"/>
    <xf numFmtId="0" fontId="27" fillId="21" borderId="0" xfId="0" applyFont="1" applyFill="1"/>
    <xf numFmtId="0" fontId="22" fillId="11" borderId="0" xfId="0" applyFont="1" applyFill="1"/>
    <xf numFmtId="0" fontId="20" fillId="2" borderId="2" xfId="0" applyFont="1" applyFill="1" applyBorder="1" applyAlignment="1">
      <alignment horizontal="center" wrapText="1"/>
    </xf>
    <xf numFmtId="0" fontId="20" fillId="2" borderId="3" xfId="0" applyFont="1" applyFill="1" applyBorder="1" applyAlignment="1">
      <alignment horizontal="center" wrapText="1"/>
    </xf>
    <xf numFmtId="0" fontId="20" fillId="2" borderId="1" xfId="0" applyFont="1" applyFill="1" applyBorder="1" applyAlignment="1">
      <alignment horizontal="center" wrapText="1"/>
    </xf>
    <xf numFmtId="0" fontId="2" fillId="0" borderId="21" xfId="0" applyFont="1" applyBorder="1" applyAlignment="1">
      <alignment horizontal="centerContinuous"/>
    </xf>
    <xf numFmtId="0" fontId="28" fillId="21" borderId="0" xfId="0" applyFont="1" applyFill="1" applyAlignment="1">
      <alignment horizontal="center"/>
    </xf>
    <xf numFmtId="0" fontId="0" fillId="11" borderId="39" xfId="0" applyFill="1" applyBorder="1" applyAlignment="1">
      <alignment wrapText="1"/>
    </xf>
    <xf numFmtId="0" fontId="0" fillId="11" borderId="40" xfId="0" applyFill="1" applyBorder="1" applyAlignment="1">
      <alignment wrapText="1"/>
    </xf>
    <xf numFmtId="44" fontId="44" fillId="14" borderId="0" xfId="8" applyNumberFormat="1" applyBorder="1" applyAlignment="1" applyProtection="1"/>
    <xf numFmtId="0" fontId="44" fillId="11" borderId="0" xfId="8" applyFill="1" applyBorder="1" applyProtection="1"/>
    <xf numFmtId="0" fontId="29" fillId="11" borderId="0" xfId="0" applyFont="1" applyFill="1"/>
    <xf numFmtId="0" fontId="44" fillId="14" borderId="15" xfId="8" applyBorder="1" applyProtection="1"/>
    <xf numFmtId="0" fontId="44" fillId="14" borderId="16" xfId="8" applyBorder="1" applyProtection="1"/>
    <xf numFmtId="166" fontId="0" fillId="0" borderId="0" xfId="7" applyNumberFormat="1" applyFont="1" applyFill="1"/>
    <xf numFmtId="0" fontId="47" fillId="15" borderId="0" xfId="4" applyFont="1" applyFill="1"/>
    <xf numFmtId="0" fontId="0" fillId="24" borderId="0" xfId="0" applyFill="1"/>
    <xf numFmtId="0" fontId="6" fillId="0" borderId="0" xfId="4" quotePrefix="1"/>
    <xf numFmtId="0" fontId="50" fillId="0" borderId="0" xfId="0" applyFont="1"/>
    <xf numFmtId="0" fontId="47" fillId="21" borderId="0" xfId="4" applyFont="1" applyFill="1"/>
    <xf numFmtId="0" fontId="47" fillId="21" borderId="0" xfId="4" applyFont="1" applyFill="1" applyAlignment="1">
      <alignment horizontal="center"/>
    </xf>
    <xf numFmtId="0" fontId="48" fillId="21" borderId="0" xfId="4" applyFont="1" applyFill="1"/>
    <xf numFmtId="0" fontId="6" fillId="21" borderId="0" xfId="4" applyFill="1"/>
    <xf numFmtId="0" fontId="42" fillId="18" borderId="0" xfId="0" applyFont="1" applyFill="1"/>
    <xf numFmtId="0" fontId="42" fillId="24" borderId="0" xfId="0" applyFont="1" applyFill="1"/>
    <xf numFmtId="0" fontId="42" fillId="15" borderId="0" xfId="0" applyFont="1" applyFill="1"/>
    <xf numFmtId="0" fontId="44" fillId="11" borderId="0" xfId="8" applyFill="1" applyProtection="1"/>
    <xf numFmtId="0" fontId="29" fillId="11" borderId="15" xfId="0" applyFont="1" applyFill="1" applyBorder="1"/>
    <xf numFmtId="0" fontId="29" fillId="11" borderId="16" xfId="0" applyFont="1" applyFill="1" applyBorder="1"/>
    <xf numFmtId="0" fontId="29" fillId="11" borderId="17" xfId="0" applyFont="1" applyFill="1" applyBorder="1"/>
    <xf numFmtId="0" fontId="16" fillId="11" borderId="0" xfId="0" applyFont="1" applyFill="1"/>
    <xf numFmtId="0" fontId="25" fillId="11" borderId="0" xfId="0" applyFont="1" applyFill="1" applyAlignment="1">
      <alignment horizontal="right"/>
    </xf>
    <xf numFmtId="0" fontId="16" fillId="11" borderId="3" xfId="0" applyFont="1" applyFill="1" applyBorder="1"/>
    <xf numFmtId="0" fontId="16" fillId="11" borderId="6" xfId="0" applyFont="1" applyFill="1" applyBorder="1"/>
    <xf numFmtId="0" fontId="16" fillId="11" borderId="16" xfId="0" applyFont="1" applyFill="1" applyBorder="1"/>
    <xf numFmtId="0" fontId="16" fillId="11" borderId="17" xfId="0" applyFont="1" applyFill="1" applyBorder="1"/>
    <xf numFmtId="0" fontId="16" fillId="11" borderId="1" xfId="0" applyFont="1" applyFill="1" applyBorder="1"/>
    <xf numFmtId="0" fontId="16" fillId="11" borderId="4" xfId="0" applyFont="1" applyFill="1" applyBorder="1"/>
    <xf numFmtId="10" fontId="16" fillId="11" borderId="14" xfId="0" applyNumberFormat="1" applyFont="1" applyFill="1" applyBorder="1"/>
    <xf numFmtId="0" fontId="16" fillId="11" borderId="15" xfId="0" applyFont="1" applyFill="1" applyBorder="1" applyAlignment="1">
      <alignment horizontal="left"/>
    </xf>
    <xf numFmtId="0" fontId="16" fillId="11" borderId="16" xfId="0" applyFont="1" applyFill="1" applyBorder="1" applyAlignment="1">
      <alignment horizontal="left"/>
    </xf>
    <xf numFmtId="0" fontId="29" fillId="11" borderId="16" xfId="0" applyFont="1" applyFill="1" applyBorder="1" applyAlignment="1">
      <alignment horizontal="left"/>
    </xf>
    <xf numFmtId="0" fontId="7" fillId="11" borderId="3" xfId="4" applyFont="1" applyFill="1" applyBorder="1" applyAlignment="1">
      <alignment horizontal="left"/>
    </xf>
    <xf numFmtId="0" fontId="7" fillId="11" borderId="6" xfId="4" applyFont="1" applyFill="1" applyBorder="1" applyAlignment="1">
      <alignment horizontal="left"/>
    </xf>
    <xf numFmtId="0" fontId="8" fillId="11" borderId="6" xfId="4" applyFont="1" applyFill="1" applyBorder="1" applyAlignment="1">
      <alignment horizontal="left"/>
    </xf>
    <xf numFmtId="0" fontId="8" fillId="11" borderId="17" xfId="4" applyFont="1" applyFill="1" applyBorder="1" applyAlignment="1">
      <alignment horizontal="left"/>
    </xf>
    <xf numFmtId="0" fontId="8" fillId="15" borderId="16" xfId="4" applyFont="1" applyFill="1" applyBorder="1"/>
    <xf numFmtId="0" fontId="8" fillId="15" borderId="17" xfId="4" applyFont="1" applyFill="1" applyBorder="1"/>
    <xf numFmtId="0" fontId="25" fillId="15" borderId="0" xfId="0" applyFont="1" applyFill="1" applyAlignment="1">
      <alignment horizontal="centerContinuous"/>
    </xf>
    <xf numFmtId="0" fontId="16" fillId="15" borderId="0" xfId="0" applyFont="1" applyFill="1" applyAlignment="1">
      <alignment horizontal="centerContinuous"/>
    </xf>
    <xf numFmtId="0" fontId="16" fillId="15" borderId="15" xfId="0" applyFont="1" applyFill="1" applyBorder="1"/>
    <xf numFmtId="0" fontId="16" fillId="15" borderId="16" xfId="0" applyFont="1" applyFill="1" applyBorder="1"/>
    <xf numFmtId="0" fontId="16" fillId="15" borderId="17" xfId="0" applyFont="1" applyFill="1" applyBorder="1"/>
    <xf numFmtId="0" fontId="16" fillId="15" borderId="16" xfId="0" applyFont="1" applyFill="1" applyBorder="1" applyAlignment="1">
      <alignment horizontal="center"/>
    </xf>
    <xf numFmtId="0" fontId="29" fillId="15" borderId="16" xfId="0" applyFont="1" applyFill="1" applyBorder="1" applyAlignment="1">
      <alignment horizontal="center"/>
    </xf>
    <xf numFmtId="0" fontId="29" fillId="15" borderId="17" xfId="0" applyFont="1" applyFill="1" applyBorder="1" applyAlignment="1">
      <alignment horizontal="center"/>
    </xf>
    <xf numFmtId="0" fontId="44" fillId="21" borderId="0" xfId="8" applyFill="1" applyProtection="1"/>
    <xf numFmtId="0" fontId="55" fillId="21" borderId="0" xfId="8" applyFont="1" applyFill="1" applyProtection="1"/>
    <xf numFmtId="4" fontId="44" fillId="11" borderId="0" xfId="8" applyNumberFormat="1" applyFill="1" applyProtection="1"/>
    <xf numFmtId="14" fontId="29" fillId="11" borderId="21" xfId="0" applyNumberFormat="1" applyFont="1" applyFill="1" applyBorder="1"/>
    <xf numFmtId="0" fontId="0" fillId="0" borderId="23" xfId="0" applyBorder="1" applyAlignment="1">
      <alignment wrapText="1"/>
    </xf>
    <xf numFmtId="14" fontId="53" fillId="0" borderId="0" xfId="8" applyNumberFormat="1" applyFont="1" applyFill="1" applyBorder="1" applyAlignment="1" applyProtection="1">
      <alignment horizontal="right"/>
    </xf>
    <xf numFmtId="172" fontId="44" fillId="14" borderId="0" xfId="6" applyNumberFormat="1" applyFont="1" applyFill="1" applyBorder="1" applyAlignment="1" applyProtection="1">
      <alignment horizontal="right"/>
    </xf>
    <xf numFmtId="14" fontId="44" fillId="14" borderId="0" xfId="8" applyNumberFormat="1" applyBorder="1" applyAlignment="1" applyProtection="1">
      <alignment horizontal="left"/>
    </xf>
    <xf numFmtId="0" fontId="27" fillId="11" borderId="0" xfId="0" applyFont="1" applyFill="1"/>
    <xf numFmtId="44" fontId="29" fillId="11" borderId="21" xfId="5" applyFont="1" applyFill="1" applyBorder="1" applyAlignment="1" applyProtection="1">
      <alignment horizontal="center"/>
    </xf>
    <xf numFmtId="44" fontId="0" fillId="0" borderId="15" xfId="0" applyNumberFormat="1" applyBorder="1" applyAlignment="1">
      <alignment horizontal="center"/>
    </xf>
    <xf numFmtId="0" fontId="20" fillId="0" borderId="0" xfId="0" applyFont="1" applyAlignment="1">
      <alignment horizontal="center" wrapText="1"/>
    </xf>
    <xf numFmtId="44" fontId="0" fillId="0" borderId="0" xfId="0" applyNumberFormat="1" applyProtection="1">
      <protection locked="0"/>
    </xf>
    <xf numFmtId="0" fontId="55" fillId="21" borderId="0" xfId="8" applyFont="1" applyFill="1" applyAlignment="1" applyProtection="1">
      <alignment horizontal="right"/>
    </xf>
    <xf numFmtId="167" fontId="2" fillId="0" borderId="0" xfId="7" applyNumberFormat="1" applyFont="1" applyAlignment="1">
      <alignment horizontal="right"/>
    </xf>
    <xf numFmtId="44" fontId="0" fillId="0" borderId="3" xfId="0" applyNumberFormat="1" applyBorder="1" applyAlignment="1">
      <alignment horizontal="center"/>
    </xf>
    <xf numFmtId="0" fontId="2" fillId="0" borderId="0" xfId="0" applyFont="1" applyAlignment="1">
      <alignment wrapText="1"/>
    </xf>
    <xf numFmtId="0" fontId="58" fillId="0" borderId="0" xfId="1" applyFont="1" applyFill="1" applyBorder="1" applyAlignment="1" applyProtection="1">
      <alignment horizontal="left" vertical="center"/>
    </xf>
    <xf numFmtId="0" fontId="60" fillId="0" borderId="0" xfId="0" applyFont="1"/>
    <xf numFmtId="2" fontId="0" fillId="0" borderId="0" xfId="0" applyNumberFormat="1" applyAlignment="1">
      <alignment horizontal="right"/>
    </xf>
    <xf numFmtId="166" fontId="0" fillId="21" borderId="0" xfId="7" applyNumberFormat="1" applyFont="1" applyFill="1"/>
    <xf numFmtId="0" fontId="0" fillId="21" borderId="0" xfId="0" applyFill="1" applyAlignment="1">
      <alignment horizontal="left" indent="1"/>
    </xf>
    <xf numFmtId="41" fontId="0" fillId="0" borderId="2" xfId="0" applyNumberFormat="1" applyBorder="1" applyAlignment="1" applyProtection="1">
      <alignment horizontal="right"/>
      <protection locked="0"/>
    </xf>
    <xf numFmtId="0" fontId="40" fillId="2" borderId="0" xfId="0" applyFont="1" applyFill="1" applyAlignment="1">
      <alignment vertical="center"/>
    </xf>
    <xf numFmtId="0" fontId="41" fillId="0" borderId="0" xfId="0" applyFont="1" applyAlignment="1">
      <alignment vertical="center"/>
    </xf>
    <xf numFmtId="0" fontId="27" fillId="0" borderId="0" xfId="0" quotePrefix="1" applyFont="1"/>
    <xf numFmtId="0" fontId="44" fillId="14" borderId="0" xfId="8"/>
    <xf numFmtId="0" fontId="28" fillId="16" borderId="0" xfId="0" applyFont="1" applyFill="1" applyAlignment="1">
      <alignment horizontal="center"/>
    </xf>
    <xf numFmtId="172" fontId="44" fillId="16" borderId="0" xfId="6" applyNumberFormat="1" applyFont="1" applyFill="1" applyBorder="1" applyAlignment="1" applyProtection="1">
      <alignment horizontal="right"/>
    </xf>
    <xf numFmtId="14" fontId="44" fillId="16" borderId="0" xfId="8" applyNumberFormat="1" applyFill="1" applyBorder="1" applyAlignment="1" applyProtection="1">
      <alignment horizontal="right"/>
    </xf>
    <xf numFmtId="0" fontId="44" fillId="16" borderId="0" xfId="8" applyFill="1" applyBorder="1" applyAlignment="1" applyProtection="1"/>
    <xf numFmtId="0" fontId="44" fillId="16" borderId="0" xfId="8" applyFill="1" applyProtection="1"/>
    <xf numFmtId="0" fontId="44" fillId="14" borderId="0" xfId="8" applyBorder="1" applyAlignment="1" applyProtection="1">
      <alignment horizontal="center" vertical="center" wrapText="1"/>
    </xf>
    <xf numFmtId="172" fontId="44" fillId="22" borderId="0" xfId="6" applyNumberFormat="1" applyFont="1" applyFill="1" applyBorder="1" applyAlignment="1" applyProtection="1">
      <alignment horizontal="right"/>
    </xf>
    <xf numFmtId="0" fontId="54" fillId="14" borderId="13" xfId="8" applyNumberFormat="1" applyFont="1" applyBorder="1" applyAlignment="1" applyProtection="1">
      <alignment horizontal="centerContinuous"/>
    </xf>
    <xf numFmtId="0" fontId="54" fillId="14" borderId="13" xfId="8" applyNumberFormat="1" applyFont="1" applyBorder="1" applyAlignment="1" applyProtection="1">
      <alignment horizontal="center"/>
    </xf>
    <xf numFmtId="43" fontId="27" fillId="0" borderId="0" xfId="6" applyFont="1" applyFill="1" applyProtection="1"/>
    <xf numFmtId="0" fontId="54" fillId="14" borderId="0" xfId="8" applyFont="1" applyBorder="1" applyAlignment="1" applyProtection="1">
      <alignment horizontal="center" vertical="center" wrapText="1"/>
    </xf>
    <xf numFmtId="0" fontId="54" fillId="14" borderId="14" xfId="8" applyFont="1" applyBorder="1" applyAlignment="1" applyProtection="1">
      <alignment horizontal="center" wrapText="1"/>
    </xf>
    <xf numFmtId="14" fontId="44" fillId="14" borderId="0" xfId="8" applyNumberFormat="1"/>
    <xf numFmtId="0" fontId="54" fillId="14" borderId="21" xfId="8" applyNumberFormat="1" applyFont="1" applyBorder="1" applyAlignment="1" applyProtection="1">
      <alignment horizontal="center"/>
    </xf>
    <xf numFmtId="14" fontId="29" fillId="11" borderId="21" xfId="0" applyNumberFormat="1" applyFont="1" applyFill="1" applyBorder="1" applyAlignment="1">
      <alignment horizontal="right"/>
    </xf>
    <xf numFmtId="172" fontId="29" fillId="11" borderId="21" xfId="0" applyNumberFormat="1" applyFont="1" applyFill="1" applyBorder="1" applyAlignment="1">
      <alignment horizontal="right"/>
    </xf>
    <xf numFmtId="0" fontId="29" fillId="11" borderId="21" xfId="0" applyFont="1" applyFill="1" applyBorder="1"/>
    <xf numFmtId="172" fontId="29" fillId="11" borderId="21" xfId="0" applyNumberFormat="1" applyFont="1" applyFill="1" applyBorder="1"/>
    <xf numFmtId="0" fontId="2" fillId="22" borderId="0" xfId="0" applyFont="1" applyFill="1"/>
    <xf numFmtId="0" fontId="44" fillId="14" borderId="0" xfId="8" applyAlignment="1" applyProtection="1">
      <alignment wrapText="1"/>
    </xf>
    <xf numFmtId="172" fontId="44" fillId="14" borderId="0" xfId="6" applyNumberFormat="1" applyFont="1" applyFill="1"/>
    <xf numFmtId="41" fontId="0" fillId="4" borderId="1" xfId="0" applyNumberFormat="1" applyFill="1" applyBorder="1" applyProtection="1">
      <protection locked="0"/>
    </xf>
    <xf numFmtId="41" fontId="0" fillId="4" borderId="4" xfId="0" applyNumberFormat="1" applyFill="1" applyBorder="1" applyProtection="1">
      <protection locked="0"/>
    </xf>
    <xf numFmtId="41" fontId="0" fillId="4" borderId="9" xfId="0" applyNumberFormat="1" applyFill="1" applyBorder="1" applyProtection="1">
      <protection locked="0"/>
    </xf>
    <xf numFmtId="169" fontId="44" fillId="14" borderId="0" xfId="8" applyNumberFormat="1"/>
    <xf numFmtId="41" fontId="0" fillId="4" borderId="2" xfId="0" applyNumberFormat="1" applyFill="1" applyBorder="1" applyProtection="1">
      <protection locked="0"/>
    </xf>
    <xf numFmtId="41" fontId="0" fillId="4" borderId="0" xfId="0" applyNumberFormat="1" applyFill="1" applyProtection="1">
      <protection locked="0"/>
    </xf>
    <xf numFmtId="41" fontId="0" fillId="4" borderId="8" xfId="0" applyNumberFormat="1" applyFill="1" applyBorder="1" applyProtection="1">
      <protection locked="0"/>
    </xf>
    <xf numFmtId="0" fontId="14" fillId="22" borderId="0" xfId="4" applyFont="1" applyFill="1"/>
    <xf numFmtId="9" fontId="14" fillId="22" borderId="0" xfId="4" applyNumberFormat="1" applyFont="1" applyFill="1"/>
    <xf numFmtId="44" fontId="27" fillId="0" borderId="0" xfId="0" applyNumberFormat="1" applyFont="1" applyProtection="1">
      <protection locked="0"/>
    </xf>
    <xf numFmtId="44" fontId="28" fillId="0" borderId="0" xfId="0" applyNumberFormat="1" applyFont="1"/>
    <xf numFmtId="44" fontId="27" fillId="21" borderId="8" xfId="5" applyFont="1" applyFill="1" applyBorder="1" applyProtection="1"/>
    <xf numFmtId="44" fontId="0" fillId="0" borderId="16" xfId="0" applyNumberFormat="1" applyBorder="1" applyAlignment="1">
      <alignment horizontal="center"/>
    </xf>
    <xf numFmtId="44" fontId="0" fillId="0" borderId="17" xfId="0" applyNumberFormat="1" applyBorder="1" applyAlignment="1">
      <alignment horizontal="center"/>
    </xf>
    <xf numFmtId="9" fontId="27" fillId="22" borderId="8" xfId="7" applyFont="1" applyFill="1" applyBorder="1" applyProtection="1"/>
    <xf numFmtId="2" fontId="43" fillId="22" borderId="0" xfId="0" applyNumberFormat="1" applyFont="1" applyFill="1" applyAlignment="1">
      <alignment horizontal="right"/>
    </xf>
    <xf numFmtId="0" fontId="28" fillId="22" borderId="0" xfId="0" applyFont="1" applyFill="1" applyAlignment="1">
      <alignment horizontal="center"/>
    </xf>
    <xf numFmtId="9" fontId="28" fillId="22" borderId="0" xfId="7" applyFont="1" applyFill="1" applyBorder="1" applyAlignment="1">
      <alignment horizontal="center"/>
    </xf>
    <xf numFmtId="174" fontId="33" fillId="0" borderId="0" xfId="0" applyNumberFormat="1" applyFont="1" applyAlignment="1">
      <alignment horizontal="center"/>
    </xf>
    <xf numFmtId="0" fontId="0" fillId="22" borderId="0" xfId="0" applyFill="1" applyAlignment="1">
      <alignment horizontal="center" wrapText="1"/>
    </xf>
    <xf numFmtId="9" fontId="0" fillId="22" borderId="0" xfId="0" applyNumberFormat="1" applyFill="1"/>
    <xf numFmtId="0" fontId="62" fillId="0" borderId="0" xfId="0" applyFont="1"/>
    <xf numFmtId="174" fontId="0" fillId="0" borderId="0" xfId="0" applyNumberFormat="1" applyProtection="1">
      <protection locked="0"/>
    </xf>
    <xf numFmtId="174" fontId="27" fillId="0" borderId="0" xfId="0" applyNumberFormat="1" applyFont="1" applyProtection="1">
      <protection locked="0"/>
    </xf>
    <xf numFmtId="175" fontId="0" fillId="0" borderId="0" xfId="0" applyNumberFormat="1"/>
    <xf numFmtId="176" fontId="0" fillId="0" borderId="0" xfId="0" applyNumberFormat="1"/>
    <xf numFmtId="10" fontId="0" fillId="0" borderId="0" xfId="7" applyNumberFormat="1" applyFont="1"/>
    <xf numFmtId="14" fontId="0" fillId="4" borderId="41" xfId="0" applyNumberFormat="1" applyFill="1" applyBorder="1" applyAlignment="1" applyProtection="1">
      <alignment horizontal="center"/>
      <protection locked="0"/>
    </xf>
    <xf numFmtId="14" fontId="44" fillId="14" borderId="0" xfId="8" applyNumberFormat="1" applyProtection="1"/>
    <xf numFmtId="14" fontId="0" fillId="28" borderId="41" xfId="0" applyNumberFormat="1" applyFill="1" applyBorder="1" applyAlignment="1" applyProtection="1">
      <alignment horizontal="center"/>
      <protection locked="0"/>
    </xf>
    <xf numFmtId="0" fontId="63" fillId="14" borderId="0" xfId="8" applyFont="1" applyBorder="1" applyProtection="1"/>
    <xf numFmtId="0" fontId="64" fillId="14" borderId="0" xfId="8" applyFont="1"/>
    <xf numFmtId="44" fontId="44" fillId="0" borderId="0" xfId="8" applyNumberFormat="1" applyFill="1" applyProtection="1"/>
    <xf numFmtId="14" fontId="44" fillId="16" borderId="0" xfId="8" applyNumberFormat="1" applyFill="1" applyBorder="1" applyAlignment="1" applyProtection="1">
      <alignment horizontal="left"/>
    </xf>
    <xf numFmtId="0" fontId="2" fillId="22" borderId="0" xfId="0" applyFont="1" applyFill="1" applyAlignment="1">
      <alignment horizontal="right"/>
    </xf>
    <xf numFmtId="0" fontId="65" fillId="14" borderId="39" xfId="8" applyFont="1" applyBorder="1" applyAlignment="1">
      <alignment vertical="top" wrapText="1"/>
    </xf>
    <xf numFmtId="0" fontId="54" fillId="0" borderId="0" xfId="8" applyFont="1" applyFill="1" applyBorder="1" applyAlignment="1" applyProtection="1">
      <alignment horizontal="center" wrapText="1"/>
    </xf>
    <xf numFmtId="0" fontId="54" fillId="14" borderId="14" xfId="8" applyFont="1" applyBorder="1" applyAlignment="1">
      <alignment horizontal="centerContinuous"/>
    </xf>
    <xf numFmtId="0" fontId="49" fillId="0" borderId="0" xfId="0" applyFont="1" applyAlignment="1">
      <alignment horizontal="right"/>
    </xf>
    <xf numFmtId="177" fontId="0" fillId="0" borderId="0" xfId="0" applyNumberFormat="1"/>
    <xf numFmtId="0" fontId="0" fillId="25" borderId="0" xfId="0" applyFill="1"/>
    <xf numFmtId="0" fontId="0" fillId="25" borderId="0" xfId="0" applyFill="1" applyAlignment="1">
      <alignment horizontal="left"/>
    </xf>
    <xf numFmtId="0" fontId="0" fillId="0" borderId="1" xfId="0" applyBorder="1"/>
    <xf numFmtId="0" fontId="0" fillId="0" borderId="4" xfId="0" applyBorder="1"/>
    <xf numFmtId="0" fontId="0" fillId="0" borderId="6" xfId="0" applyBorder="1"/>
    <xf numFmtId="0" fontId="35" fillId="0" borderId="6" xfId="0" applyFont="1" applyBorder="1"/>
    <xf numFmtId="44" fontId="0" fillId="17" borderId="0" xfId="0" applyNumberFormat="1" applyFill="1"/>
    <xf numFmtId="0" fontId="0" fillId="17" borderId="0" xfId="0" applyFill="1"/>
    <xf numFmtId="0" fontId="0" fillId="0" borderId="7" xfId="0" applyBorder="1"/>
    <xf numFmtId="0" fontId="0" fillId="0" borderId="9" xfId="0" applyBorder="1"/>
    <xf numFmtId="43" fontId="0" fillId="21" borderId="0" xfId="6" applyFont="1" applyFill="1"/>
    <xf numFmtId="0" fontId="0" fillId="0" borderId="0" xfId="0" applyNumberFormat="1"/>
    <xf numFmtId="0" fontId="0" fillId="0" borderId="0" xfId="0" applyAlignment="1">
      <alignment horizontal="center"/>
    </xf>
    <xf numFmtId="0" fontId="66" fillId="2" borderId="13" xfId="0" applyFont="1" applyFill="1" applyBorder="1" applyAlignment="1">
      <alignment horizontal="center"/>
    </xf>
    <xf numFmtId="0" fontId="66" fillId="2" borderId="22" xfId="0" applyFont="1" applyFill="1" applyBorder="1" applyAlignment="1">
      <alignment horizontal="center"/>
    </xf>
    <xf numFmtId="0" fontId="66" fillId="2" borderId="14" xfId="0" applyFont="1" applyFill="1" applyBorder="1" applyAlignment="1">
      <alignment horizontal="center"/>
    </xf>
    <xf numFmtId="0" fontId="2" fillId="27" borderId="0" xfId="0" applyFont="1" applyFill="1" applyAlignment="1">
      <alignment horizontal="center" wrapText="1"/>
    </xf>
    <xf numFmtId="0" fontId="2" fillId="21" borderId="13" xfId="0" applyFont="1" applyFill="1" applyBorder="1" applyAlignment="1">
      <alignment horizontal="center"/>
    </xf>
    <xf numFmtId="0" fontId="2" fillId="21" borderId="22" xfId="0" applyFont="1" applyFill="1" applyBorder="1" applyAlignment="1">
      <alignment horizontal="center"/>
    </xf>
    <xf numFmtId="0" fontId="2" fillId="0" borderId="13" xfId="0" applyFont="1" applyBorder="1" applyAlignment="1">
      <alignment horizontal="center"/>
    </xf>
    <xf numFmtId="0" fontId="2" fillId="0" borderId="22" xfId="0" applyFont="1" applyBorder="1" applyAlignment="1">
      <alignment horizontal="center"/>
    </xf>
    <xf numFmtId="0" fontId="2" fillId="0" borderId="14" xfId="0" applyFont="1" applyBorder="1" applyAlignment="1">
      <alignment horizontal="center"/>
    </xf>
    <xf numFmtId="0" fontId="17" fillId="2" borderId="15" xfId="0" applyFont="1" applyFill="1" applyBorder="1" applyAlignment="1">
      <alignment horizontal="center" wrapText="1"/>
    </xf>
    <xf numFmtId="0" fontId="17" fillId="2" borderId="17" xfId="0" applyFont="1" applyFill="1" applyBorder="1" applyAlignment="1">
      <alignment horizontal="center" wrapText="1"/>
    </xf>
    <xf numFmtId="0" fontId="17" fillId="2" borderId="33" xfId="0" applyFont="1" applyFill="1" applyBorder="1" applyAlignment="1">
      <alignment horizontal="center" wrapText="1"/>
    </xf>
    <xf numFmtId="0" fontId="17" fillId="2" borderId="37" xfId="0" applyFont="1" applyFill="1" applyBorder="1" applyAlignment="1">
      <alignment horizontal="center" wrapText="1"/>
    </xf>
    <xf numFmtId="0" fontId="2" fillId="9" borderId="10" xfId="0" applyFont="1" applyFill="1" applyBorder="1" applyAlignment="1">
      <alignment horizontal="center"/>
    </xf>
    <xf numFmtId="0" fontId="2" fillId="9" borderId="11"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9" borderId="22" xfId="0" applyFont="1" applyFill="1" applyBorder="1" applyAlignment="1">
      <alignment horizontal="center"/>
    </xf>
    <xf numFmtId="0" fontId="2" fillId="9" borderId="14" xfId="0" applyFont="1" applyFill="1" applyBorder="1" applyAlignment="1">
      <alignment horizontal="center"/>
    </xf>
    <xf numFmtId="0" fontId="2" fillId="21" borderId="10" xfId="0" applyFont="1" applyFill="1" applyBorder="1" applyAlignment="1">
      <alignment horizontal="center"/>
    </xf>
    <xf numFmtId="0" fontId="2" fillId="21" borderId="11" xfId="0" applyFont="1" applyFill="1" applyBorder="1" applyAlignment="1">
      <alignment horizontal="center"/>
    </xf>
    <xf numFmtId="0" fontId="2" fillId="21" borderId="12" xfId="0" applyFont="1" applyFill="1" applyBorder="1" applyAlignment="1">
      <alignment horizontal="center"/>
    </xf>
    <xf numFmtId="4" fontId="27" fillId="0" borderId="0" xfId="0" applyNumberFormat="1" applyFont="1" applyAlignment="1">
      <alignment horizontal="center"/>
    </xf>
    <xf numFmtId="0" fontId="66" fillId="2" borderId="13" xfId="0" applyFont="1" applyFill="1" applyBorder="1" applyAlignment="1">
      <alignment horizontal="center" vertical="top" wrapText="1"/>
    </xf>
    <xf numFmtId="0" fontId="66" fillId="2" borderId="22" xfId="0" applyFont="1" applyFill="1" applyBorder="1" applyAlignment="1">
      <alignment horizontal="center" vertical="top" wrapText="1"/>
    </xf>
    <xf numFmtId="0" fontId="66" fillId="2" borderId="13" xfId="0" applyFont="1" applyFill="1" applyBorder="1" applyAlignment="1">
      <alignment horizontal="center" wrapText="1"/>
    </xf>
    <xf numFmtId="0" fontId="66" fillId="2" borderId="22" xfId="0" applyFont="1" applyFill="1" applyBorder="1" applyAlignment="1">
      <alignment horizontal="center" wrapText="1"/>
    </xf>
    <xf numFmtId="0" fontId="17" fillId="2" borderId="13" xfId="0" applyFont="1" applyFill="1" applyBorder="1" applyAlignment="1">
      <alignment horizontal="center"/>
    </xf>
    <xf numFmtId="0" fontId="17" fillId="2" borderId="22" xfId="0" applyFont="1" applyFill="1" applyBorder="1" applyAlignment="1">
      <alignment horizontal="center"/>
    </xf>
    <xf numFmtId="0" fontId="40" fillId="2" borderId="0" xfId="0" applyFont="1" applyFill="1" applyAlignment="1">
      <alignment horizontal="center"/>
    </xf>
    <xf numFmtId="0" fontId="6" fillId="21" borderId="0" xfId="4" applyFill="1" applyAlignment="1">
      <alignment horizontal="center" vertical="center" wrapText="1"/>
    </xf>
    <xf numFmtId="0" fontId="0" fillId="0" borderId="0" xfId="0" applyAlignment="1">
      <alignment horizontal="left" vertical="top" wrapText="1"/>
    </xf>
    <xf numFmtId="0" fontId="44" fillId="14" borderId="0" xfId="8" applyAlignment="1">
      <alignment horizontal="center"/>
    </xf>
    <xf numFmtId="0" fontId="0" fillId="21" borderId="0" xfId="0" applyFill="1" applyAlignment="1">
      <alignment horizontal="left" wrapText="1"/>
    </xf>
    <xf numFmtId="0" fontId="0" fillId="17" borderId="60" xfId="0" applyFill="1" applyBorder="1" applyAlignment="1">
      <alignment horizontal="left" vertical="top" wrapText="1"/>
    </xf>
    <xf numFmtId="0" fontId="0" fillId="17" borderId="67" xfId="0" applyFill="1" applyBorder="1" applyAlignment="1">
      <alignment horizontal="left" vertical="top" wrapText="1"/>
    </xf>
    <xf numFmtId="0" fontId="0" fillId="17" borderId="68" xfId="0" applyFill="1" applyBorder="1" applyAlignment="1">
      <alignment horizontal="left" vertical="top" wrapText="1"/>
    </xf>
    <xf numFmtId="0" fontId="0" fillId="17" borderId="44" xfId="0" applyFill="1" applyBorder="1" applyAlignment="1">
      <alignment horizontal="left" vertical="top" wrapText="1"/>
    </xf>
    <xf numFmtId="0" fontId="0" fillId="17" borderId="0" xfId="0" applyFill="1" applyAlignment="1">
      <alignment horizontal="left" vertical="top" wrapText="1"/>
    </xf>
    <xf numFmtId="0" fontId="0" fillId="17" borderId="50" xfId="0" applyFill="1" applyBorder="1" applyAlignment="1">
      <alignment horizontal="left" vertical="top" wrapText="1"/>
    </xf>
    <xf numFmtId="0" fontId="6" fillId="0" borderId="0" xfId="4" applyAlignment="1">
      <alignment horizontal="left" wrapText="1"/>
    </xf>
    <xf numFmtId="0" fontId="47" fillId="0" borderId="0" xfId="4" applyFont="1" applyAlignment="1">
      <alignment horizontal="center"/>
    </xf>
    <xf numFmtId="0" fontId="47" fillId="11" borderId="0" xfId="4" applyFont="1" applyFill="1" applyAlignment="1">
      <alignment horizontal="left" wrapText="1"/>
    </xf>
    <xf numFmtId="0" fontId="6" fillId="0" borderId="0" xfId="4" applyAlignment="1">
      <alignment horizontal="left" vertical="top" wrapText="1"/>
    </xf>
  </cellXfs>
  <cellStyles count="9">
    <cellStyle name="Comma" xfId="6" builtinId="3"/>
    <cellStyle name="Currency" xfId="5" builtinId="4"/>
    <cellStyle name="Good" xfId="8" builtinId="26"/>
    <cellStyle name="Heading 4" xfId="2" builtinId="19"/>
    <cellStyle name="Normal" xfId="0" builtinId="0"/>
    <cellStyle name="Normal 2" xfId="3" xr:uid="{00000000-0005-0000-0000-000004000000}"/>
    <cellStyle name="Normal 3" xfId="4" xr:uid="{00000000-0005-0000-0000-000005000000}"/>
    <cellStyle name="Percent" xfId="7" builtinId="5"/>
    <cellStyle name="Title" xfId="1" builtinId="15"/>
  </cellStyles>
  <dxfs count="36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bgColor rgb="FFFF0000"/>
        </patternFill>
      </fill>
    </dxf>
    <dxf>
      <fill>
        <patternFill patternType="solid">
          <bgColor rgb="FFFF00FF"/>
        </patternFill>
      </fill>
    </dxf>
    <dxf>
      <fill>
        <patternFill patternType="solid">
          <bgColor rgb="FFFFCCFF"/>
        </patternFill>
      </fill>
    </dxf>
    <dxf>
      <numFmt numFmtId="177" formatCode="_(* #,##0.000_);_(* \(#,##0.000\);_(* &quot;-&quot;??_);_(@_)"/>
    </dxf>
    <dxf>
      <fill>
        <patternFill patternType="solid">
          <bgColor rgb="FFFFCCFF"/>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patternType="solid">
          <bgColor rgb="FFFFCCFF"/>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tint="-0.14996795556505021"/>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tint="-0.14996795556505021"/>
        </patternFill>
      </fill>
    </dxf>
    <dxf>
      <fill>
        <patternFill>
          <bgColor theme="0"/>
        </patternFill>
      </fill>
    </dxf>
    <dxf>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tint="-0.14996795556505021"/>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s>
  <tableStyles count="0" defaultTableStyle="TableStyleMedium2" defaultPivotStyle="PivotStyleLight16"/>
  <colors>
    <mruColors>
      <color rgb="FFCCFFCC"/>
      <color rgb="FFFF00FF"/>
      <color rgb="FFFFCCFF"/>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24</xdr:col>
      <xdr:colOff>162884</xdr:colOff>
      <xdr:row>21</xdr:row>
      <xdr:rowOff>181559</xdr:rowOff>
    </xdr:to>
    <xdr:pic>
      <xdr:nvPicPr>
        <xdr:cNvPr id="2" name="Picture 1">
          <a:extLst>
            <a:ext uri="{FF2B5EF4-FFF2-40B4-BE49-F238E27FC236}">
              <a16:creationId xmlns:a16="http://schemas.microsoft.com/office/drawing/2014/main" id="{2589A335-2DAE-0CF8-79F8-6AF5986B2E12}"/>
            </a:ext>
          </a:extLst>
        </xdr:cNvPr>
        <xdr:cNvPicPr>
          <a:picLocks noChangeAspect="1"/>
        </xdr:cNvPicPr>
      </xdr:nvPicPr>
      <xdr:blipFill>
        <a:blip xmlns:r="http://schemas.openxmlformats.org/officeDocument/2006/relationships" r:embed="rId1"/>
        <a:stretch>
          <a:fillRect/>
        </a:stretch>
      </xdr:blipFill>
      <xdr:spPr>
        <a:xfrm>
          <a:off x="7315200" y="0"/>
          <a:ext cx="6868484" cy="4182059"/>
        </a:xfrm>
        <a:prstGeom prst="rect">
          <a:avLst/>
        </a:prstGeom>
      </xdr:spPr>
    </xdr:pic>
    <xdr:clientData/>
  </xdr:twoCellAnchor>
  <xdr:twoCellAnchor editAs="oneCell">
    <xdr:from>
      <xdr:col>13</xdr:col>
      <xdr:colOff>104775</xdr:colOff>
      <xdr:row>22</xdr:row>
      <xdr:rowOff>47625</xdr:rowOff>
    </xdr:from>
    <xdr:to>
      <xdr:col>24</xdr:col>
      <xdr:colOff>258132</xdr:colOff>
      <xdr:row>43</xdr:row>
      <xdr:rowOff>124394</xdr:rowOff>
    </xdr:to>
    <xdr:pic>
      <xdr:nvPicPr>
        <xdr:cNvPr id="3" name="Picture 2">
          <a:extLst>
            <a:ext uri="{FF2B5EF4-FFF2-40B4-BE49-F238E27FC236}">
              <a16:creationId xmlns:a16="http://schemas.microsoft.com/office/drawing/2014/main" id="{E3FA43DC-8ADD-E39D-13AD-8E0C13E7BA52}"/>
            </a:ext>
          </a:extLst>
        </xdr:cNvPr>
        <xdr:cNvPicPr>
          <a:picLocks noChangeAspect="1"/>
        </xdr:cNvPicPr>
      </xdr:nvPicPr>
      <xdr:blipFill>
        <a:blip xmlns:r="http://schemas.openxmlformats.org/officeDocument/2006/relationships" r:embed="rId2"/>
        <a:stretch>
          <a:fillRect/>
        </a:stretch>
      </xdr:blipFill>
      <xdr:spPr>
        <a:xfrm>
          <a:off x="8801100" y="4238625"/>
          <a:ext cx="6858957" cy="4077269"/>
        </a:xfrm>
        <a:prstGeom prst="rect">
          <a:avLst/>
        </a:prstGeom>
      </xdr:spPr>
    </xdr:pic>
    <xdr:clientData/>
  </xdr:twoCellAnchor>
  <xdr:twoCellAnchor editAs="oneCell">
    <xdr:from>
      <xdr:col>13</xdr:col>
      <xdr:colOff>66675</xdr:colOff>
      <xdr:row>43</xdr:row>
      <xdr:rowOff>180975</xdr:rowOff>
    </xdr:from>
    <xdr:to>
      <xdr:col>24</xdr:col>
      <xdr:colOff>229559</xdr:colOff>
      <xdr:row>66</xdr:row>
      <xdr:rowOff>76797</xdr:rowOff>
    </xdr:to>
    <xdr:pic>
      <xdr:nvPicPr>
        <xdr:cNvPr id="4" name="Picture 3">
          <a:extLst>
            <a:ext uri="{FF2B5EF4-FFF2-40B4-BE49-F238E27FC236}">
              <a16:creationId xmlns:a16="http://schemas.microsoft.com/office/drawing/2014/main" id="{0500DCE3-4183-A2DF-606B-B69EEC82B992}"/>
            </a:ext>
          </a:extLst>
        </xdr:cNvPr>
        <xdr:cNvPicPr>
          <a:picLocks noChangeAspect="1"/>
        </xdr:cNvPicPr>
      </xdr:nvPicPr>
      <xdr:blipFill>
        <a:blip xmlns:r="http://schemas.openxmlformats.org/officeDocument/2006/relationships" r:embed="rId3"/>
        <a:stretch>
          <a:fillRect/>
        </a:stretch>
      </xdr:blipFill>
      <xdr:spPr>
        <a:xfrm>
          <a:off x="8763000" y="8372475"/>
          <a:ext cx="6868484" cy="4277322"/>
        </a:xfrm>
        <a:prstGeom prst="rect">
          <a:avLst/>
        </a:prstGeom>
      </xdr:spPr>
    </xdr:pic>
    <xdr:clientData/>
  </xdr:twoCellAnchor>
  <xdr:twoCellAnchor editAs="oneCell">
    <xdr:from>
      <xdr:col>24</xdr:col>
      <xdr:colOff>200025</xdr:colOff>
      <xdr:row>0</xdr:row>
      <xdr:rowOff>0</xdr:rowOff>
    </xdr:from>
    <xdr:to>
      <xdr:col>35</xdr:col>
      <xdr:colOff>534382</xdr:colOff>
      <xdr:row>21</xdr:row>
      <xdr:rowOff>133927</xdr:rowOff>
    </xdr:to>
    <xdr:pic>
      <xdr:nvPicPr>
        <xdr:cNvPr id="5" name="Picture 4">
          <a:extLst>
            <a:ext uri="{FF2B5EF4-FFF2-40B4-BE49-F238E27FC236}">
              <a16:creationId xmlns:a16="http://schemas.microsoft.com/office/drawing/2014/main" id="{40CDE0FC-4374-6F2B-C109-8DC43D1B84C2}"/>
            </a:ext>
          </a:extLst>
        </xdr:cNvPr>
        <xdr:cNvPicPr>
          <a:picLocks noChangeAspect="1"/>
        </xdr:cNvPicPr>
      </xdr:nvPicPr>
      <xdr:blipFill>
        <a:blip xmlns:r="http://schemas.openxmlformats.org/officeDocument/2006/relationships" r:embed="rId4"/>
        <a:stretch>
          <a:fillRect/>
        </a:stretch>
      </xdr:blipFill>
      <xdr:spPr>
        <a:xfrm>
          <a:off x="15601950" y="0"/>
          <a:ext cx="7039957" cy="4134427"/>
        </a:xfrm>
        <a:prstGeom prst="rect">
          <a:avLst/>
        </a:prstGeom>
      </xdr:spPr>
    </xdr:pic>
    <xdr:clientData/>
  </xdr:twoCellAnchor>
  <xdr:twoCellAnchor editAs="oneCell">
    <xdr:from>
      <xdr:col>37</xdr:col>
      <xdr:colOff>0</xdr:colOff>
      <xdr:row>0</xdr:row>
      <xdr:rowOff>0</xdr:rowOff>
    </xdr:from>
    <xdr:to>
      <xdr:col>48</xdr:col>
      <xdr:colOff>515358</xdr:colOff>
      <xdr:row>22</xdr:row>
      <xdr:rowOff>19638</xdr:rowOff>
    </xdr:to>
    <xdr:pic>
      <xdr:nvPicPr>
        <xdr:cNvPr id="6" name="Picture 5">
          <a:extLst>
            <a:ext uri="{FF2B5EF4-FFF2-40B4-BE49-F238E27FC236}">
              <a16:creationId xmlns:a16="http://schemas.microsoft.com/office/drawing/2014/main" id="{1A3CF7B7-5BBD-A085-E41E-B2ECEE0E85EE}"/>
            </a:ext>
          </a:extLst>
        </xdr:cNvPr>
        <xdr:cNvPicPr>
          <a:picLocks noChangeAspect="1"/>
        </xdr:cNvPicPr>
      </xdr:nvPicPr>
      <xdr:blipFill>
        <a:blip xmlns:r="http://schemas.openxmlformats.org/officeDocument/2006/relationships" r:embed="rId5"/>
        <a:stretch>
          <a:fillRect/>
        </a:stretch>
      </xdr:blipFill>
      <xdr:spPr>
        <a:xfrm>
          <a:off x="23326725" y="0"/>
          <a:ext cx="7220958" cy="4210638"/>
        </a:xfrm>
        <a:prstGeom prst="rect">
          <a:avLst/>
        </a:prstGeom>
      </xdr:spPr>
    </xdr:pic>
    <xdr:clientData/>
  </xdr:twoCellAnchor>
  <xdr:twoCellAnchor editAs="oneCell">
    <xdr:from>
      <xdr:col>24</xdr:col>
      <xdr:colOff>381000</xdr:colOff>
      <xdr:row>44</xdr:row>
      <xdr:rowOff>180975</xdr:rowOff>
    </xdr:from>
    <xdr:to>
      <xdr:col>35</xdr:col>
      <xdr:colOff>534357</xdr:colOff>
      <xdr:row>66</xdr:row>
      <xdr:rowOff>181560</xdr:rowOff>
    </xdr:to>
    <xdr:pic>
      <xdr:nvPicPr>
        <xdr:cNvPr id="7" name="Picture 6">
          <a:extLst>
            <a:ext uri="{FF2B5EF4-FFF2-40B4-BE49-F238E27FC236}">
              <a16:creationId xmlns:a16="http://schemas.microsoft.com/office/drawing/2014/main" id="{4300CFC2-C715-7437-81F4-868086788279}"/>
            </a:ext>
          </a:extLst>
        </xdr:cNvPr>
        <xdr:cNvPicPr>
          <a:picLocks noChangeAspect="1"/>
        </xdr:cNvPicPr>
      </xdr:nvPicPr>
      <xdr:blipFill>
        <a:blip xmlns:r="http://schemas.openxmlformats.org/officeDocument/2006/relationships" r:embed="rId6"/>
        <a:stretch>
          <a:fillRect/>
        </a:stretch>
      </xdr:blipFill>
      <xdr:spPr>
        <a:xfrm>
          <a:off x="15782925" y="8562975"/>
          <a:ext cx="6858957" cy="4191585"/>
        </a:xfrm>
        <a:prstGeom prst="rect">
          <a:avLst/>
        </a:prstGeom>
      </xdr:spPr>
    </xdr:pic>
    <xdr:clientData/>
  </xdr:twoCellAnchor>
  <xdr:twoCellAnchor editAs="oneCell">
    <xdr:from>
      <xdr:col>24</xdr:col>
      <xdr:colOff>381000</xdr:colOff>
      <xdr:row>22</xdr:row>
      <xdr:rowOff>57150</xdr:rowOff>
    </xdr:from>
    <xdr:to>
      <xdr:col>35</xdr:col>
      <xdr:colOff>391462</xdr:colOff>
      <xdr:row>44</xdr:row>
      <xdr:rowOff>105367</xdr:rowOff>
    </xdr:to>
    <xdr:pic>
      <xdr:nvPicPr>
        <xdr:cNvPr id="10" name="Picture 9">
          <a:extLst>
            <a:ext uri="{FF2B5EF4-FFF2-40B4-BE49-F238E27FC236}">
              <a16:creationId xmlns:a16="http://schemas.microsoft.com/office/drawing/2014/main" id="{1F7A5189-1766-7FCB-3861-C5A570D05F58}"/>
            </a:ext>
          </a:extLst>
        </xdr:cNvPr>
        <xdr:cNvPicPr>
          <a:picLocks noChangeAspect="1"/>
        </xdr:cNvPicPr>
      </xdr:nvPicPr>
      <xdr:blipFill>
        <a:blip xmlns:r="http://schemas.openxmlformats.org/officeDocument/2006/relationships" r:embed="rId7"/>
        <a:stretch>
          <a:fillRect/>
        </a:stretch>
      </xdr:blipFill>
      <xdr:spPr>
        <a:xfrm>
          <a:off x="15782925" y="4248150"/>
          <a:ext cx="6716062" cy="42392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20</xdr:col>
      <xdr:colOff>28575</xdr:colOff>
      <xdr:row>2</xdr:row>
      <xdr:rowOff>19050</xdr:rowOff>
    </xdr:from>
    <xdr:to>
      <xdr:col>29</xdr:col>
      <xdr:colOff>459440</xdr:colOff>
      <xdr:row>23</xdr:row>
      <xdr:rowOff>47625</xdr:rowOff>
    </xdr:to>
    <xdr:pic>
      <xdr:nvPicPr>
        <xdr:cNvPr id="2" name="Picture 1">
          <a:extLst>
            <a:ext uri="{FF2B5EF4-FFF2-40B4-BE49-F238E27FC236}">
              <a16:creationId xmlns:a16="http://schemas.microsoft.com/office/drawing/2014/main" id="{9ED60E51-B2C8-42B7-BA3F-40DE834A637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1614" r="38939" b="13424"/>
        <a:stretch/>
      </xdr:blipFill>
      <xdr:spPr bwMode="auto">
        <a:xfrm>
          <a:off x="18611850" y="400050"/>
          <a:ext cx="5917265" cy="402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9</xdr:row>
      <xdr:rowOff>0</xdr:rowOff>
    </xdr:from>
    <xdr:to>
      <xdr:col>16</xdr:col>
      <xdr:colOff>190964</xdr:colOff>
      <xdr:row>19</xdr:row>
      <xdr:rowOff>66950</xdr:rowOff>
    </xdr:to>
    <xdr:pic>
      <xdr:nvPicPr>
        <xdr:cNvPr id="2" name="Picture 1">
          <a:extLst>
            <a:ext uri="{FF2B5EF4-FFF2-40B4-BE49-F238E27FC236}">
              <a16:creationId xmlns:a16="http://schemas.microsoft.com/office/drawing/2014/main" id="{BC364FE5-1971-E352-0E7E-7C72C5FEC9DD}"/>
            </a:ext>
          </a:extLst>
        </xdr:cNvPr>
        <xdr:cNvPicPr>
          <a:picLocks noChangeAspect="1"/>
        </xdr:cNvPicPr>
      </xdr:nvPicPr>
      <xdr:blipFill>
        <a:blip xmlns:r="http://schemas.openxmlformats.org/officeDocument/2006/relationships" r:embed="rId1"/>
        <a:stretch>
          <a:fillRect/>
        </a:stretch>
      </xdr:blipFill>
      <xdr:spPr>
        <a:xfrm>
          <a:off x="9477375" y="1714500"/>
          <a:ext cx="3324689" cy="19719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White" refreshedDate="45128.415203356482" createdVersion="7" refreshedVersion="8" minRefreshableVersion="3" recordCount="900" xr:uid="{B0DA0A3F-30CD-435B-9F3B-6F94F36D0A56}">
  <cacheSource type="worksheet">
    <worksheetSource ref="A1:H451" sheet="FPS SQL Data"/>
  </cacheSource>
  <cacheFields count="8">
    <cacheField name="EFF_DATE" numFmtId="14">
      <sharedItems containsSemiMixedTypes="0" containsNonDate="0" containsDate="1" containsString="0" minDate="2021-07-01T00:00:00" maxDate="2023-07-02T00:00:00" count="3">
        <d v="2022-07-01T00:00:00"/>
        <d v="2023-07-01T00:00:00"/>
        <d v="2021-07-01T00:00:00" u="1"/>
      </sharedItems>
    </cacheField>
    <cacheField name="MTRX_CD" numFmtId="0">
      <sharedItems/>
    </cacheField>
    <cacheField name="MTRX_TYPE" numFmtId="0">
      <sharedItems count="3">
        <s v="D"/>
        <s v="R"/>
        <s v="S"/>
      </sharedItems>
    </cacheField>
    <cacheField name="SUPV_LVL" numFmtId="0">
      <sharedItems containsSemiMixedTypes="0" containsString="0" containsNumber="1" containsInteger="1" minValue="1" maxValue="5" count="5">
        <n v="1"/>
        <n v="2"/>
        <n v="3"/>
        <n v="4"/>
        <n v="5"/>
      </sharedItems>
    </cacheField>
    <cacheField name="HLTH_LVL" numFmtId="0">
      <sharedItems containsSemiMixedTypes="0" containsString="0" containsNumber="1" containsInteger="1" minValue="1" maxValue="5" count="5">
        <n v="1"/>
        <n v="2"/>
        <n v="3"/>
        <n v="4"/>
        <n v="5"/>
      </sharedItems>
    </cacheField>
    <cacheField name="REGION" numFmtId="0">
      <sharedItems count="6">
        <s v="1"/>
        <s v="2"/>
        <s v="3"/>
        <s v="4"/>
        <s v="5"/>
        <s v="6"/>
      </sharedItems>
    </cacheField>
    <cacheField name="ADJ" numFmtId="0">
      <sharedItems containsSemiMixedTypes="0" containsString="0" containsNumber="1" minValue="1" maxValue="1.0789"/>
    </cacheField>
    <cacheField name="AMT" numFmtId="0">
      <sharedItems containsSemiMixedTypes="0" containsString="0" containsNumber="1" minValue="27.12" maxValue="234.7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White" refreshedDate="45128.418499537038" createdVersion="8" refreshedVersion="8" minRefreshableVersion="3" recordCount="120" xr:uid="{55927601-4F70-4141-968D-4AD929709773}">
  <cacheSource type="worksheet">
    <worksheetSource ref="A1:J121" sheet="Waiver SQL Data"/>
  </cacheSource>
  <cacheFields count="10">
    <cacheField name="NAME" numFmtId="0">
      <sharedItems/>
    </cacheField>
    <cacheField name="CLAIM_CD" numFmtId="0">
      <sharedItems count="60">
        <s v="W5700"/>
        <s v="W5703"/>
        <s v="W5702"/>
        <s v="W5705"/>
        <s v="W5704"/>
        <s v="W5706"/>
        <s v="W5707"/>
        <s v="W5739"/>
        <s v="W5738"/>
        <s v="W5737"/>
        <s v="W5736"/>
        <s v="W5710"/>
        <s v="W5713"/>
        <s v="W5712"/>
        <s v="W5715"/>
        <s v="W5714"/>
        <s v="W5730"/>
        <s v="W5733"/>
        <s v="W5732"/>
        <s v="W5735"/>
        <s v="W5734"/>
        <s v="W8337"/>
        <s v="W5653"/>
        <s v="W5740"/>
        <s v="W5743"/>
        <s v="W5742"/>
        <s v="W5745"/>
        <s v="W5744"/>
        <s v="W5760"/>
        <s v="W5763"/>
        <s v="W5762"/>
        <s v="W5765"/>
        <s v="W5764"/>
        <s v="W5630"/>
        <s v="W5633"/>
        <s v="W5632"/>
        <s v="W5635"/>
        <s v="W5634"/>
        <s v="W5877"/>
        <s v="W5804"/>
        <s v="W5817"/>
        <s v="W5816"/>
        <s v="W5798"/>
        <s v="W5799"/>
        <s v="W5813"/>
        <s v="W5815"/>
        <s v="W5822"/>
        <s v="W5825"/>
        <s v="W5824"/>
        <s v="W5827"/>
        <s v="W5826"/>
        <s v="W5831"/>
        <s v="W5830"/>
        <s v="W5833"/>
        <s v="W5832"/>
        <s v="W5835"/>
        <s v="W5834"/>
        <s v="W5643"/>
        <s v="W5621"/>
        <s v="W5620"/>
      </sharedItems>
    </cacheField>
    <cacheField name="WAIVER" numFmtId="0">
      <sharedItems count="3">
        <s v="CP"/>
        <s v="CS"/>
        <s v="FS"/>
      </sharedItems>
    </cacheField>
    <cacheField name="PLAN_TYPE" numFmtId="0">
      <sharedItems count="2">
        <s v="Traditional"/>
        <s v="Self-Direction"/>
      </sharedItems>
    </cacheField>
    <cacheField name="UNIT_TYPE" numFmtId="0">
      <sharedItems/>
    </cacheField>
    <cacheField name="START_DT" numFmtId="14">
      <sharedItems containsSemiMixedTypes="0" containsNonDate="0" containsDate="1" containsString="0" minDate="2022-07-01T00:00:00" maxDate="2023-07-02T00:00:00" count="2">
        <d v="2022-07-01T00:00:00"/>
        <d v="2023-07-01T00:00:00"/>
      </sharedItems>
    </cacheField>
    <cacheField name="END_DT" numFmtId="14">
      <sharedItems containsSemiMixedTypes="0" containsNonDate="0" containsDate="1" containsString="0" minDate="2023-06-30T00:00:00" maxDate="2024-07-01T00:00:00"/>
    </cacheField>
    <cacheField name="MAX_RATE" numFmtId="0">
      <sharedItems containsSemiMixedTypes="0" containsString="0" containsNumber="1" minValue="0" maxValue="2423"/>
    </cacheField>
    <cacheField name="CAT" numFmtId="0">
      <sharedItems count="10">
        <s v="BSS"/>
        <s v="CDS"/>
        <s v="VOC"/>
        <s v="HCDS"/>
        <s v="FAM"/>
        <s v="HSS"/>
        <s v="NS"/>
        <s v="PS"/>
        <s v="RS"/>
        <s v="RES"/>
      </sharedItems>
    </cacheField>
    <cacheField name="IS_RATE"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neice Robinson" refreshedDate="45131.409935532407" createdVersion="8" refreshedVersion="8" minRefreshableVersion="3" recordCount="450" xr:uid="{80EC7DE8-B492-4787-907C-A7AF6835C4CF}">
  <cacheSource type="worksheet">
    <worksheetSource ref="A1:I451" sheet="FPS SQL Data"/>
  </cacheSource>
  <cacheFields count="9">
    <cacheField name="EFF_DATE" numFmtId="14">
      <sharedItems containsSemiMixedTypes="0" containsNonDate="0" containsDate="1" containsString="0" minDate="2023-07-01T00:00:00" maxDate="2023-07-02T00:00:00"/>
    </cacheField>
    <cacheField name="MTRX_CD" numFmtId="0">
      <sharedItems/>
    </cacheField>
    <cacheField name="MTRX_TYPE" numFmtId="0">
      <sharedItems/>
    </cacheField>
    <cacheField name="SUPV_LVL" numFmtId="0">
      <sharedItems containsSemiMixedTypes="0" containsString="0" containsNumber="1" containsInteger="1" minValue="1" maxValue="5" count="5">
        <n v="1"/>
        <n v="2"/>
        <n v="3"/>
        <n v="4"/>
        <n v="5"/>
      </sharedItems>
    </cacheField>
    <cacheField name="HLTH_LVL" numFmtId="0">
      <sharedItems containsSemiMixedTypes="0" containsString="0" containsNumber="1" containsInteger="1" minValue="1" maxValue="5" count="5">
        <n v="1"/>
        <n v="2"/>
        <n v="3"/>
        <n v="4"/>
        <n v="5"/>
      </sharedItems>
    </cacheField>
    <cacheField name="REGION" numFmtId="0">
      <sharedItems count="6">
        <s v="1"/>
        <s v="2"/>
        <s v="3"/>
        <s v="4"/>
        <s v="5"/>
        <s v="6"/>
      </sharedItems>
    </cacheField>
    <cacheField name="ADJ" numFmtId="0">
      <sharedItems containsSemiMixedTypes="0" containsString="0" containsNumber="1" minValue="1" maxValue="1.0789"/>
    </cacheField>
    <cacheField name="Rate$" numFmtId="0">
      <sharedItems containsSemiMixedTypes="0" containsString="0" containsNumber="1" minValue="28.2" maxValue="234.75"/>
    </cacheField>
    <cacheField name="SERVICE" numFmtId="0">
      <sharedItems count="3">
        <s v="DAY HABILITATION\CLS"/>
        <s v="RESIDENTIAL"/>
        <s v="SUPPORTED EMPLOYMENT\EDC"/>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neice Robinson" refreshedDate="45131.417092824071" createdVersion="8" refreshedVersion="8" minRefreshableVersion="3" recordCount="3" xr:uid="{4B0C41A8-FED9-4851-841C-B4CD59639688}">
  <cacheSource type="worksheet">
    <worksheetSource ref="N2:O5" sheet="FPS SQL Data"/>
  </cacheSource>
  <cacheFields count="2">
    <cacheField name="Service" numFmtId="0">
      <sharedItems count="3">
        <s v="DAY HABILITATION\CLS"/>
        <s v="RESIDENTIAL"/>
        <s v="SUPPORTED EMPLOYMENT\EDC"/>
      </sharedItems>
    </cacheField>
    <cacheField name="Provider Rate" numFmtId="0">
      <sharedItems containsSemiMixedTypes="0" containsString="0" containsNumber="1" minValue="50.32" maxValue="90.89"/>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neice Robinson" refreshedDate="45131.441732060186" createdVersion="8" refreshedVersion="8" minRefreshableVersion="3" recordCount="18" xr:uid="{286A2225-76CC-4A93-96B5-D1DE006D5105}">
  <cacheSource type="worksheet">
    <worksheetSource ref="A1:F19" sheet="Addon Table"/>
  </cacheSource>
  <cacheFields count="6">
    <cacheField name="Type" numFmtId="0">
      <sharedItems count="3">
        <s v="D"/>
        <s v="R"/>
        <s v="S"/>
      </sharedItems>
    </cacheField>
    <cacheField name="Type_Name" numFmtId="0">
      <sharedItems count="3">
        <s v="Day Habilitation"/>
        <s v="Residential"/>
        <s v="Supported Employment"/>
      </sharedItems>
    </cacheField>
    <cacheField name="Awake Overnight" numFmtId="0">
      <sharedItems containsString="0" containsBlank="1" containsNumber="1" minValue="27.15" maxValue="28.94"/>
    </cacheField>
    <cacheField name="Direct Support" numFmtId="0">
      <sharedItems containsSemiMixedTypes="0" containsString="0" containsNumber="1" minValue="27.15" maxValue="32.17"/>
    </cacheField>
    <cacheField name="Professional Support" numFmtId="0">
      <sharedItems containsSemiMixedTypes="0" containsString="0" containsNumber="1" minValue="44.77" maxValue="47.92"/>
    </cacheField>
    <cacheField name="Region" numFmtId="0">
      <sharedItems containsSemiMixedTypes="0" containsString="0" containsNumber="1" containsInteger="1" minValue="1" maxValue="6" count="6">
        <n v="1"/>
        <n v="2"/>
        <n v="3"/>
        <n v="4"/>
        <n v="5"/>
        <n v="6"/>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holas Gabor" refreshedDate="45197.540404976855" createdVersion="7" refreshedVersion="8" minRefreshableVersion="3" recordCount="121" xr:uid="{7293C5A4-40C1-4ED2-B1C5-E874173560DE}">
  <cacheSource type="worksheet">
    <worksheetSource ref="A1:J123" sheet="Waiver SQL Data"/>
  </cacheSource>
  <cacheFields count="10">
    <cacheField name="NAME" numFmtId="0">
      <sharedItems containsBlank="1"/>
    </cacheField>
    <cacheField name="CLAIM_CD" numFmtId="0">
      <sharedItems containsBlank="1" count="66">
        <s v="W5700"/>
        <s v="W5703"/>
        <s v="W5702"/>
        <s v="W5705"/>
        <s v="W5704"/>
        <s v="W5706"/>
        <s v="W5707"/>
        <s v="W5739"/>
        <s v="W5738"/>
        <s v="W5737"/>
        <s v="W5736"/>
        <s v="W5710"/>
        <s v="W5713"/>
        <s v="W5712"/>
        <s v="W5715"/>
        <s v="W5714"/>
        <s v="W5730"/>
        <s v="W5733"/>
        <s v="W5732"/>
        <s v="W5735"/>
        <s v="W5734"/>
        <s v="W8337"/>
        <s v="W5653"/>
        <s v="W5740"/>
        <s v="W5743"/>
        <s v="W5742"/>
        <s v="W5745"/>
        <s v="W5744"/>
        <s v="W5760"/>
        <s v="W5763"/>
        <s v="W5762"/>
        <s v="W5765"/>
        <s v="W5764"/>
        <s v="W5630"/>
        <s v="W5633"/>
        <s v="W5632"/>
        <s v="W5635"/>
        <s v="W5634"/>
        <s v="W5877"/>
        <s v="W5804"/>
        <s v="W5817"/>
        <s v="W5816"/>
        <s v="W5798"/>
        <s v="W5799"/>
        <s v="W5813"/>
        <s v="W5815"/>
        <s v="W5822"/>
        <s v="W5825"/>
        <s v="W5824"/>
        <s v="W5827"/>
        <s v="W5826"/>
        <s v="W5831"/>
        <s v="W5830"/>
        <s v="W5833"/>
        <s v="W5832"/>
        <s v="W5835"/>
        <s v="W5834"/>
        <s v="W5643"/>
        <s v="W5621"/>
        <s v="W5620"/>
        <m/>
        <s v="T5798" u="1"/>
        <s v="T5817" u="1"/>
        <s v="T5799" u="1"/>
        <s v="T5804" u="1"/>
        <s v="T5816" u="1"/>
      </sharedItems>
    </cacheField>
    <cacheField name="WAIVER" numFmtId="0">
      <sharedItems containsBlank="1" count="4">
        <s v="CP"/>
        <s v="CS"/>
        <s v="FS"/>
        <m/>
      </sharedItems>
    </cacheField>
    <cacheField name="PLAN_TYPE" numFmtId="0">
      <sharedItems containsBlank="1" count="3">
        <s v="Traditional"/>
        <s v="Self-Direction"/>
        <m/>
      </sharedItems>
    </cacheField>
    <cacheField name="UNIT_TYPE" numFmtId="0">
      <sharedItems containsBlank="1"/>
    </cacheField>
    <cacheField name="START_DT" numFmtId="0">
      <sharedItems containsNonDate="0" containsDate="1" containsString="0" containsBlank="1" minDate="2021-07-01T00:00:00" maxDate="2023-07-02T00:00:00" count="4">
        <d v="2022-07-01T00:00:00"/>
        <d v="2023-07-01T00:00:00"/>
        <m/>
        <d v="2021-07-01T00:00:00" u="1"/>
      </sharedItems>
    </cacheField>
    <cacheField name="END_DT" numFmtId="0">
      <sharedItems containsNonDate="0" containsDate="1" containsString="0" containsBlank="1" minDate="2023-06-30T00:00:00" maxDate="2024-07-01T00:00:00"/>
    </cacheField>
    <cacheField name="MAX_RATE" numFmtId="0">
      <sharedItems containsString="0" containsBlank="1" containsNumber="1" minValue="0" maxValue="2423"/>
    </cacheField>
    <cacheField name="CAT" numFmtId="0">
      <sharedItems containsBlank="1" count="11">
        <s v="BSS"/>
        <s v="CDS"/>
        <s v="VOC"/>
        <s v="HCDS"/>
        <s v="FAM"/>
        <s v="HSS"/>
        <s v="NS"/>
        <s v="PS"/>
        <s v="RS"/>
        <s v="RES"/>
        <m/>
      </sharedItems>
    </cacheField>
    <cacheField name="IS_RAT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0">
  <r>
    <x v="0"/>
    <s v="D11"/>
    <x v="0"/>
    <x v="0"/>
    <x v="0"/>
    <x v="0"/>
    <n v="1"/>
    <n v="27.69"/>
  </r>
  <r>
    <x v="0"/>
    <s v="D11"/>
    <x v="0"/>
    <x v="0"/>
    <x v="0"/>
    <x v="1"/>
    <n v="1.0789"/>
    <n v="29.87"/>
  </r>
  <r>
    <x v="0"/>
    <s v="D11"/>
    <x v="0"/>
    <x v="0"/>
    <x v="0"/>
    <x v="2"/>
    <n v="1"/>
    <n v="27.69"/>
  </r>
  <r>
    <x v="0"/>
    <s v="D11"/>
    <x v="0"/>
    <x v="0"/>
    <x v="0"/>
    <x v="3"/>
    <n v="1"/>
    <n v="27.69"/>
  </r>
  <r>
    <x v="0"/>
    <s v="D11"/>
    <x v="0"/>
    <x v="0"/>
    <x v="0"/>
    <x v="4"/>
    <n v="1.0629"/>
    <n v="29.43"/>
  </r>
  <r>
    <x v="0"/>
    <s v="D11"/>
    <x v="0"/>
    <x v="0"/>
    <x v="0"/>
    <x v="5"/>
    <n v="1"/>
    <n v="27.69"/>
  </r>
  <r>
    <x v="0"/>
    <s v="D12"/>
    <x v="0"/>
    <x v="0"/>
    <x v="1"/>
    <x v="0"/>
    <n v="1"/>
    <n v="30.56"/>
  </r>
  <r>
    <x v="0"/>
    <s v="D12"/>
    <x v="0"/>
    <x v="0"/>
    <x v="1"/>
    <x v="1"/>
    <n v="1.0789"/>
    <n v="32.97"/>
  </r>
  <r>
    <x v="0"/>
    <s v="D12"/>
    <x v="0"/>
    <x v="0"/>
    <x v="1"/>
    <x v="2"/>
    <n v="1"/>
    <n v="30.56"/>
  </r>
  <r>
    <x v="0"/>
    <s v="D12"/>
    <x v="0"/>
    <x v="0"/>
    <x v="1"/>
    <x v="3"/>
    <n v="1"/>
    <n v="30.56"/>
  </r>
  <r>
    <x v="0"/>
    <s v="D12"/>
    <x v="0"/>
    <x v="0"/>
    <x v="1"/>
    <x v="4"/>
    <n v="1.0629"/>
    <n v="32.479999999999997"/>
  </r>
  <r>
    <x v="0"/>
    <s v="D12"/>
    <x v="0"/>
    <x v="0"/>
    <x v="1"/>
    <x v="5"/>
    <n v="1"/>
    <n v="30.56"/>
  </r>
  <r>
    <x v="0"/>
    <s v="D13"/>
    <x v="0"/>
    <x v="0"/>
    <x v="2"/>
    <x v="0"/>
    <n v="1"/>
    <n v="35.229999999999997"/>
  </r>
  <r>
    <x v="0"/>
    <s v="D13"/>
    <x v="0"/>
    <x v="0"/>
    <x v="2"/>
    <x v="1"/>
    <n v="1.0789"/>
    <n v="38.01"/>
  </r>
  <r>
    <x v="0"/>
    <s v="D13"/>
    <x v="0"/>
    <x v="0"/>
    <x v="2"/>
    <x v="2"/>
    <n v="1"/>
    <n v="35.229999999999997"/>
  </r>
  <r>
    <x v="0"/>
    <s v="D13"/>
    <x v="0"/>
    <x v="0"/>
    <x v="2"/>
    <x v="3"/>
    <n v="1"/>
    <n v="35.229999999999997"/>
  </r>
  <r>
    <x v="0"/>
    <s v="D13"/>
    <x v="0"/>
    <x v="0"/>
    <x v="2"/>
    <x v="4"/>
    <n v="1.0629"/>
    <n v="37.450000000000003"/>
  </r>
  <r>
    <x v="0"/>
    <s v="D13"/>
    <x v="0"/>
    <x v="0"/>
    <x v="2"/>
    <x v="5"/>
    <n v="1"/>
    <n v="35.229999999999997"/>
  </r>
  <r>
    <x v="0"/>
    <s v="D14"/>
    <x v="0"/>
    <x v="0"/>
    <x v="3"/>
    <x v="0"/>
    <n v="1"/>
    <n v="41.56"/>
  </r>
  <r>
    <x v="0"/>
    <s v="D14"/>
    <x v="0"/>
    <x v="0"/>
    <x v="3"/>
    <x v="1"/>
    <n v="1.0789"/>
    <n v="44.84"/>
  </r>
  <r>
    <x v="0"/>
    <s v="D14"/>
    <x v="0"/>
    <x v="0"/>
    <x v="3"/>
    <x v="2"/>
    <n v="1"/>
    <n v="41.56"/>
  </r>
  <r>
    <x v="0"/>
    <s v="D14"/>
    <x v="0"/>
    <x v="0"/>
    <x v="3"/>
    <x v="3"/>
    <n v="1"/>
    <n v="41.56"/>
  </r>
  <r>
    <x v="0"/>
    <s v="D14"/>
    <x v="0"/>
    <x v="0"/>
    <x v="3"/>
    <x v="4"/>
    <n v="1.0629"/>
    <n v="44.17"/>
  </r>
  <r>
    <x v="0"/>
    <s v="D14"/>
    <x v="0"/>
    <x v="0"/>
    <x v="3"/>
    <x v="5"/>
    <n v="1"/>
    <n v="41.56"/>
  </r>
  <r>
    <x v="0"/>
    <s v="D15"/>
    <x v="0"/>
    <x v="0"/>
    <x v="4"/>
    <x v="0"/>
    <n v="1"/>
    <n v="47.1"/>
  </r>
  <r>
    <x v="0"/>
    <s v="D15"/>
    <x v="0"/>
    <x v="0"/>
    <x v="4"/>
    <x v="1"/>
    <n v="1.0789"/>
    <n v="50.82"/>
  </r>
  <r>
    <x v="0"/>
    <s v="D15"/>
    <x v="0"/>
    <x v="0"/>
    <x v="4"/>
    <x v="2"/>
    <n v="1"/>
    <n v="47.1"/>
  </r>
  <r>
    <x v="0"/>
    <s v="D15"/>
    <x v="0"/>
    <x v="0"/>
    <x v="4"/>
    <x v="3"/>
    <n v="1"/>
    <n v="47.1"/>
  </r>
  <r>
    <x v="0"/>
    <s v="D15"/>
    <x v="0"/>
    <x v="0"/>
    <x v="4"/>
    <x v="4"/>
    <n v="1.0629"/>
    <n v="50.06"/>
  </r>
  <r>
    <x v="0"/>
    <s v="D15"/>
    <x v="0"/>
    <x v="0"/>
    <x v="4"/>
    <x v="5"/>
    <n v="1"/>
    <n v="47.1"/>
  </r>
  <r>
    <x v="0"/>
    <s v="D21"/>
    <x v="0"/>
    <x v="1"/>
    <x v="0"/>
    <x v="0"/>
    <n v="1"/>
    <n v="33.090000000000003"/>
  </r>
  <r>
    <x v="0"/>
    <s v="D21"/>
    <x v="0"/>
    <x v="1"/>
    <x v="0"/>
    <x v="1"/>
    <n v="1.0789"/>
    <n v="35.700000000000003"/>
  </r>
  <r>
    <x v="0"/>
    <s v="D21"/>
    <x v="0"/>
    <x v="1"/>
    <x v="0"/>
    <x v="2"/>
    <n v="1"/>
    <n v="33.090000000000003"/>
  </r>
  <r>
    <x v="0"/>
    <s v="D21"/>
    <x v="0"/>
    <x v="1"/>
    <x v="0"/>
    <x v="3"/>
    <n v="1"/>
    <n v="33.090000000000003"/>
  </r>
  <r>
    <x v="0"/>
    <s v="D21"/>
    <x v="0"/>
    <x v="1"/>
    <x v="0"/>
    <x v="4"/>
    <n v="1.0629"/>
    <n v="35.17"/>
  </r>
  <r>
    <x v="0"/>
    <s v="D21"/>
    <x v="0"/>
    <x v="1"/>
    <x v="0"/>
    <x v="5"/>
    <n v="1"/>
    <n v="33.090000000000003"/>
  </r>
  <r>
    <x v="0"/>
    <s v="D22"/>
    <x v="0"/>
    <x v="1"/>
    <x v="1"/>
    <x v="0"/>
    <n v="1"/>
    <n v="35.950000000000003"/>
  </r>
  <r>
    <x v="0"/>
    <s v="D22"/>
    <x v="0"/>
    <x v="1"/>
    <x v="1"/>
    <x v="1"/>
    <n v="1.0789"/>
    <n v="38.79"/>
  </r>
  <r>
    <x v="0"/>
    <s v="D22"/>
    <x v="0"/>
    <x v="1"/>
    <x v="1"/>
    <x v="2"/>
    <n v="1"/>
    <n v="35.950000000000003"/>
  </r>
  <r>
    <x v="0"/>
    <s v="D22"/>
    <x v="0"/>
    <x v="1"/>
    <x v="1"/>
    <x v="3"/>
    <n v="1"/>
    <n v="35.950000000000003"/>
  </r>
  <r>
    <x v="0"/>
    <s v="D22"/>
    <x v="0"/>
    <x v="1"/>
    <x v="1"/>
    <x v="4"/>
    <n v="1.0629"/>
    <n v="38.21"/>
  </r>
  <r>
    <x v="0"/>
    <s v="D22"/>
    <x v="0"/>
    <x v="1"/>
    <x v="1"/>
    <x v="5"/>
    <n v="1"/>
    <n v="35.950000000000003"/>
  </r>
  <r>
    <x v="0"/>
    <s v="D23"/>
    <x v="0"/>
    <x v="1"/>
    <x v="2"/>
    <x v="0"/>
    <n v="1"/>
    <n v="40.65"/>
  </r>
  <r>
    <x v="0"/>
    <s v="D23"/>
    <x v="0"/>
    <x v="1"/>
    <x v="2"/>
    <x v="1"/>
    <n v="1.0789"/>
    <n v="43.86"/>
  </r>
  <r>
    <x v="0"/>
    <s v="D23"/>
    <x v="0"/>
    <x v="1"/>
    <x v="2"/>
    <x v="2"/>
    <n v="1"/>
    <n v="40.65"/>
  </r>
  <r>
    <x v="0"/>
    <s v="D23"/>
    <x v="0"/>
    <x v="1"/>
    <x v="2"/>
    <x v="3"/>
    <n v="1"/>
    <n v="40.65"/>
  </r>
  <r>
    <x v="0"/>
    <s v="D23"/>
    <x v="0"/>
    <x v="1"/>
    <x v="2"/>
    <x v="4"/>
    <n v="1.0629"/>
    <n v="43.21"/>
  </r>
  <r>
    <x v="0"/>
    <s v="D23"/>
    <x v="0"/>
    <x v="1"/>
    <x v="2"/>
    <x v="5"/>
    <n v="1"/>
    <n v="40.65"/>
  </r>
  <r>
    <x v="0"/>
    <s v="D24"/>
    <x v="0"/>
    <x v="1"/>
    <x v="3"/>
    <x v="0"/>
    <n v="1"/>
    <n v="46.9"/>
  </r>
  <r>
    <x v="0"/>
    <s v="D24"/>
    <x v="0"/>
    <x v="1"/>
    <x v="3"/>
    <x v="1"/>
    <n v="1.0789"/>
    <n v="50.6"/>
  </r>
  <r>
    <x v="0"/>
    <s v="D24"/>
    <x v="0"/>
    <x v="1"/>
    <x v="3"/>
    <x v="2"/>
    <n v="1"/>
    <n v="46.9"/>
  </r>
  <r>
    <x v="0"/>
    <s v="D24"/>
    <x v="0"/>
    <x v="1"/>
    <x v="3"/>
    <x v="3"/>
    <n v="1"/>
    <n v="46.9"/>
  </r>
  <r>
    <x v="0"/>
    <s v="D24"/>
    <x v="0"/>
    <x v="1"/>
    <x v="3"/>
    <x v="4"/>
    <n v="1.0629"/>
    <n v="49.85"/>
  </r>
  <r>
    <x v="0"/>
    <s v="D24"/>
    <x v="0"/>
    <x v="1"/>
    <x v="3"/>
    <x v="5"/>
    <n v="1"/>
    <n v="46.9"/>
  </r>
  <r>
    <x v="0"/>
    <s v="D25"/>
    <x v="0"/>
    <x v="1"/>
    <x v="4"/>
    <x v="0"/>
    <n v="1"/>
    <n v="52.46"/>
  </r>
  <r>
    <x v="0"/>
    <s v="D25"/>
    <x v="0"/>
    <x v="1"/>
    <x v="4"/>
    <x v="1"/>
    <n v="1.0789"/>
    <n v="56.6"/>
  </r>
  <r>
    <x v="0"/>
    <s v="D25"/>
    <x v="0"/>
    <x v="1"/>
    <x v="4"/>
    <x v="2"/>
    <n v="1"/>
    <n v="52.46"/>
  </r>
  <r>
    <x v="0"/>
    <s v="D25"/>
    <x v="0"/>
    <x v="1"/>
    <x v="4"/>
    <x v="3"/>
    <n v="1"/>
    <n v="52.46"/>
  </r>
  <r>
    <x v="0"/>
    <s v="D25"/>
    <x v="0"/>
    <x v="1"/>
    <x v="4"/>
    <x v="4"/>
    <n v="1.0629"/>
    <n v="55.76"/>
  </r>
  <r>
    <x v="0"/>
    <s v="D25"/>
    <x v="0"/>
    <x v="1"/>
    <x v="4"/>
    <x v="5"/>
    <n v="1"/>
    <n v="52.46"/>
  </r>
  <r>
    <x v="0"/>
    <s v="D31"/>
    <x v="0"/>
    <x v="2"/>
    <x v="0"/>
    <x v="0"/>
    <n v="1"/>
    <n v="43.58"/>
  </r>
  <r>
    <x v="0"/>
    <s v="D31"/>
    <x v="0"/>
    <x v="2"/>
    <x v="0"/>
    <x v="1"/>
    <n v="1.0789"/>
    <n v="47.02"/>
  </r>
  <r>
    <x v="0"/>
    <s v="D31"/>
    <x v="0"/>
    <x v="2"/>
    <x v="0"/>
    <x v="2"/>
    <n v="1"/>
    <n v="43.58"/>
  </r>
  <r>
    <x v="0"/>
    <s v="D31"/>
    <x v="0"/>
    <x v="2"/>
    <x v="0"/>
    <x v="3"/>
    <n v="1"/>
    <n v="43.58"/>
  </r>
  <r>
    <x v="0"/>
    <s v="D31"/>
    <x v="0"/>
    <x v="2"/>
    <x v="0"/>
    <x v="4"/>
    <n v="1.0629"/>
    <n v="46.32"/>
  </r>
  <r>
    <x v="0"/>
    <s v="D31"/>
    <x v="0"/>
    <x v="2"/>
    <x v="0"/>
    <x v="5"/>
    <n v="1"/>
    <n v="43.58"/>
  </r>
  <r>
    <x v="0"/>
    <s v="D32"/>
    <x v="0"/>
    <x v="2"/>
    <x v="1"/>
    <x v="0"/>
    <n v="1"/>
    <n v="46.48"/>
  </r>
  <r>
    <x v="0"/>
    <s v="D32"/>
    <x v="0"/>
    <x v="2"/>
    <x v="1"/>
    <x v="1"/>
    <n v="1.0789"/>
    <n v="50.15"/>
  </r>
  <r>
    <x v="0"/>
    <s v="D32"/>
    <x v="0"/>
    <x v="2"/>
    <x v="1"/>
    <x v="2"/>
    <n v="1"/>
    <n v="46.48"/>
  </r>
  <r>
    <x v="0"/>
    <s v="D32"/>
    <x v="0"/>
    <x v="2"/>
    <x v="1"/>
    <x v="3"/>
    <n v="1"/>
    <n v="46.48"/>
  </r>
  <r>
    <x v="0"/>
    <s v="D32"/>
    <x v="0"/>
    <x v="2"/>
    <x v="1"/>
    <x v="4"/>
    <n v="1.0629"/>
    <n v="49.4"/>
  </r>
  <r>
    <x v="0"/>
    <s v="D32"/>
    <x v="0"/>
    <x v="2"/>
    <x v="1"/>
    <x v="5"/>
    <n v="1"/>
    <n v="46.48"/>
  </r>
  <r>
    <x v="0"/>
    <s v="D33"/>
    <x v="0"/>
    <x v="2"/>
    <x v="2"/>
    <x v="0"/>
    <n v="1"/>
    <n v="51.15"/>
  </r>
  <r>
    <x v="0"/>
    <s v="D33"/>
    <x v="0"/>
    <x v="2"/>
    <x v="2"/>
    <x v="1"/>
    <n v="1.0789"/>
    <n v="55.19"/>
  </r>
  <r>
    <x v="0"/>
    <s v="D33"/>
    <x v="0"/>
    <x v="2"/>
    <x v="2"/>
    <x v="2"/>
    <n v="1"/>
    <n v="51.15"/>
  </r>
  <r>
    <x v="0"/>
    <s v="D33"/>
    <x v="0"/>
    <x v="2"/>
    <x v="2"/>
    <x v="3"/>
    <n v="1"/>
    <n v="51.15"/>
  </r>
  <r>
    <x v="0"/>
    <s v="D33"/>
    <x v="0"/>
    <x v="2"/>
    <x v="2"/>
    <x v="4"/>
    <n v="1.0629"/>
    <n v="54.37"/>
  </r>
  <r>
    <x v="0"/>
    <s v="D33"/>
    <x v="0"/>
    <x v="2"/>
    <x v="2"/>
    <x v="5"/>
    <n v="1"/>
    <n v="51.15"/>
  </r>
  <r>
    <x v="0"/>
    <s v="D34"/>
    <x v="0"/>
    <x v="2"/>
    <x v="3"/>
    <x v="0"/>
    <n v="1"/>
    <n v="57.42"/>
  </r>
  <r>
    <x v="0"/>
    <s v="D34"/>
    <x v="0"/>
    <x v="2"/>
    <x v="3"/>
    <x v="1"/>
    <n v="1.0789"/>
    <n v="61.95"/>
  </r>
  <r>
    <x v="0"/>
    <s v="D34"/>
    <x v="0"/>
    <x v="2"/>
    <x v="3"/>
    <x v="2"/>
    <n v="1"/>
    <n v="57.42"/>
  </r>
  <r>
    <x v="0"/>
    <s v="D34"/>
    <x v="0"/>
    <x v="2"/>
    <x v="3"/>
    <x v="3"/>
    <n v="1"/>
    <n v="57.42"/>
  </r>
  <r>
    <x v="0"/>
    <s v="D34"/>
    <x v="0"/>
    <x v="2"/>
    <x v="3"/>
    <x v="4"/>
    <n v="1.0629"/>
    <n v="61.03"/>
  </r>
  <r>
    <x v="0"/>
    <s v="D34"/>
    <x v="0"/>
    <x v="2"/>
    <x v="3"/>
    <x v="5"/>
    <n v="1"/>
    <n v="57.42"/>
  </r>
  <r>
    <x v="0"/>
    <s v="D35"/>
    <x v="0"/>
    <x v="2"/>
    <x v="4"/>
    <x v="0"/>
    <n v="1"/>
    <n v="62.97"/>
  </r>
  <r>
    <x v="0"/>
    <s v="D35"/>
    <x v="0"/>
    <x v="2"/>
    <x v="4"/>
    <x v="1"/>
    <n v="1.0789"/>
    <n v="67.94"/>
  </r>
  <r>
    <x v="0"/>
    <s v="D35"/>
    <x v="0"/>
    <x v="2"/>
    <x v="4"/>
    <x v="2"/>
    <n v="1"/>
    <n v="62.97"/>
  </r>
  <r>
    <x v="0"/>
    <s v="D35"/>
    <x v="0"/>
    <x v="2"/>
    <x v="4"/>
    <x v="3"/>
    <n v="1"/>
    <n v="62.97"/>
  </r>
  <r>
    <x v="0"/>
    <s v="D35"/>
    <x v="0"/>
    <x v="2"/>
    <x v="4"/>
    <x v="4"/>
    <n v="1.0629"/>
    <n v="66.930000000000007"/>
  </r>
  <r>
    <x v="0"/>
    <s v="D35"/>
    <x v="0"/>
    <x v="2"/>
    <x v="4"/>
    <x v="5"/>
    <n v="1"/>
    <n v="62.97"/>
  </r>
  <r>
    <x v="0"/>
    <s v="D41"/>
    <x v="0"/>
    <x v="3"/>
    <x v="0"/>
    <x v="0"/>
    <n v="1"/>
    <n v="54.37"/>
  </r>
  <r>
    <x v="0"/>
    <s v="D41"/>
    <x v="0"/>
    <x v="3"/>
    <x v="0"/>
    <x v="1"/>
    <n v="1.0789"/>
    <n v="58.66"/>
  </r>
  <r>
    <x v="0"/>
    <s v="D41"/>
    <x v="0"/>
    <x v="3"/>
    <x v="0"/>
    <x v="2"/>
    <n v="1"/>
    <n v="54.37"/>
  </r>
  <r>
    <x v="0"/>
    <s v="D41"/>
    <x v="0"/>
    <x v="3"/>
    <x v="0"/>
    <x v="3"/>
    <n v="1"/>
    <n v="54.37"/>
  </r>
  <r>
    <x v="0"/>
    <s v="D41"/>
    <x v="0"/>
    <x v="3"/>
    <x v="0"/>
    <x v="4"/>
    <n v="1.0629"/>
    <n v="57.79"/>
  </r>
  <r>
    <x v="0"/>
    <s v="D41"/>
    <x v="0"/>
    <x v="3"/>
    <x v="0"/>
    <x v="5"/>
    <n v="1"/>
    <n v="54.37"/>
  </r>
  <r>
    <x v="0"/>
    <s v="D42"/>
    <x v="0"/>
    <x v="3"/>
    <x v="1"/>
    <x v="0"/>
    <n v="1"/>
    <n v="57.27"/>
  </r>
  <r>
    <x v="0"/>
    <s v="D42"/>
    <x v="0"/>
    <x v="3"/>
    <x v="1"/>
    <x v="1"/>
    <n v="1.0789"/>
    <n v="61.79"/>
  </r>
  <r>
    <x v="0"/>
    <s v="D42"/>
    <x v="0"/>
    <x v="3"/>
    <x v="1"/>
    <x v="2"/>
    <n v="1"/>
    <n v="57.27"/>
  </r>
  <r>
    <x v="0"/>
    <s v="D42"/>
    <x v="0"/>
    <x v="3"/>
    <x v="1"/>
    <x v="3"/>
    <n v="1"/>
    <n v="57.27"/>
  </r>
  <r>
    <x v="0"/>
    <s v="D42"/>
    <x v="0"/>
    <x v="3"/>
    <x v="1"/>
    <x v="4"/>
    <n v="1.0629"/>
    <n v="60.87"/>
  </r>
  <r>
    <x v="0"/>
    <s v="D42"/>
    <x v="0"/>
    <x v="3"/>
    <x v="1"/>
    <x v="5"/>
    <n v="1"/>
    <n v="57.27"/>
  </r>
  <r>
    <x v="0"/>
    <s v="D43"/>
    <x v="0"/>
    <x v="3"/>
    <x v="2"/>
    <x v="0"/>
    <n v="1"/>
    <n v="61.94"/>
  </r>
  <r>
    <x v="0"/>
    <s v="D43"/>
    <x v="0"/>
    <x v="3"/>
    <x v="2"/>
    <x v="1"/>
    <n v="1.0789"/>
    <n v="66.83"/>
  </r>
  <r>
    <x v="0"/>
    <s v="D43"/>
    <x v="0"/>
    <x v="3"/>
    <x v="2"/>
    <x v="2"/>
    <n v="1"/>
    <n v="61.94"/>
  </r>
  <r>
    <x v="0"/>
    <s v="D43"/>
    <x v="0"/>
    <x v="3"/>
    <x v="2"/>
    <x v="3"/>
    <n v="1"/>
    <n v="61.94"/>
  </r>
  <r>
    <x v="0"/>
    <s v="D43"/>
    <x v="0"/>
    <x v="3"/>
    <x v="2"/>
    <x v="4"/>
    <n v="1.0629"/>
    <n v="65.84"/>
  </r>
  <r>
    <x v="0"/>
    <s v="D43"/>
    <x v="0"/>
    <x v="3"/>
    <x v="2"/>
    <x v="5"/>
    <n v="1"/>
    <n v="61.94"/>
  </r>
  <r>
    <x v="0"/>
    <s v="D44"/>
    <x v="0"/>
    <x v="3"/>
    <x v="3"/>
    <x v="0"/>
    <n v="1"/>
    <n v="68.25"/>
  </r>
  <r>
    <x v="0"/>
    <s v="D44"/>
    <x v="0"/>
    <x v="3"/>
    <x v="3"/>
    <x v="1"/>
    <n v="1.0789"/>
    <n v="73.63"/>
  </r>
  <r>
    <x v="0"/>
    <s v="D44"/>
    <x v="0"/>
    <x v="3"/>
    <x v="3"/>
    <x v="2"/>
    <n v="1"/>
    <n v="68.25"/>
  </r>
  <r>
    <x v="0"/>
    <s v="D44"/>
    <x v="0"/>
    <x v="3"/>
    <x v="3"/>
    <x v="3"/>
    <n v="1"/>
    <n v="68.25"/>
  </r>
  <r>
    <x v="0"/>
    <s v="D44"/>
    <x v="0"/>
    <x v="3"/>
    <x v="3"/>
    <x v="4"/>
    <n v="1.0629"/>
    <n v="72.540000000000006"/>
  </r>
  <r>
    <x v="0"/>
    <s v="D44"/>
    <x v="0"/>
    <x v="3"/>
    <x v="3"/>
    <x v="5"/>
    <n v="1"/>
    <n v="68.25"/>
  </r>
  <r>
    <x v="0"/>
    <s v="D45"/>
    <x v="0"/>
    <x v="3"/>
    <x v="4"/>
    <x v="0"/>
    <n v="1"/>
    <n v="73.77"/>
  </r>
  <r>
    <x v="0"/>
    <s v="D45"/>
    <x v="0"/>
    <x v="3"/>
    <x v="4"/>
    <x v="1"/>
    <n v="1.0789"/>
    <n v="79.59"/>
  </r>
  <r>
    <x v="0"/>
    <s v="D45"/>
    <x v="0"/>
    <x v="3"/>
    <x v="4"/>
    <x v="2"/>
    <n v="1"/>
    <n v="73.77"/>
  </r>
  <r>
    <x v="0"/>
    <s v="D45"/>
    <x v="0"/>
    <x v="3"/>
    <x v="4"/>
    <x v="3"/>
    <n v="1"/>
    <n v="73.77"/>
  </r>
  <r>
    <x v="0"/>
    <s v="D45"/>
    <x v="0"/>
    <x v="3"/>
    <x v="4"/>
    <x v="4"/>
    <n v="1.0629"/>
    <n v="78.41"/>
  </r>
  <r>
    <x v="0"/>
    <s v="D45"/>
    <x v="0"/>
    <x v="3"/>
    <x v="4"/>
    <x v="5"/>
    <n v="1"/>
    <n v="73.77"/>
  </r>
  <r>
    <x v="0"/>
    <s v="D51"/>
    <x v="0"/>
    <x v="4"/>
    <x v="0"/>
    <x v="0"/>
    <n v="1"/>
    <n v="75.709999999999994"/>
  </r>
  <r>
    <x v="0"/>
    <s v="D51"/>
    <x v="0"/>
    <x v="4"/>
    <x v="0"/>
    <x v="1"/>
    <n v="1.0789"/>
    <n v="81.680000000000007"/>
  </r>
  <r>
    <x v="0"/>
    <s v="D51"/>
    <x v="0"/>
    <x v="4"/>
    <x v="0"/>
    <x v="2"/>
    <n v="1"/>
    <n v="75.709999999999994"/>
  </r>
  <r>
    <x v="0"/>
    <s v="D51"/>
    <x v="0"/>
    <x v="4"/>
    <x v="0"/>
    <x v="3"/>
    <n v="1"/>
    <n v="75.709999999999994"/>
  </r>
  <r>
    <x v="0"/>
    <s v="D51"/>
    <x v="0"/>
    <x v="4"/>
    <x v="0"/>
    <x v="4"/>
    <n v="1.0629"/>
    <n v="80.47"/>
  </r>
  <r>
    <x v="0"/>
    <s v="D51"/>
    <x v="0"/>
    <x v="4"/>
    <x v="0"/>
    <x v="5"/>
    <n v="1"/>
    <n v="75.709999999999994"/>
  </r>
  <r>
    <x v="0"/>
    <s v="D52"/>
    <x v="0"/>
    <x v="4"/>
    <x v="1"/>
    <x v="0"/>
    <n v="1"/>
    <n v="78.59"/>
  </r>
  <r>
    <x v="0"/>
    <s v="D52"/>
    <x v="0"/>
    <x v="4"/>
    <x v="1"/>
    <x v="1"/>
    <n v="1.0789"/>
    <n v="84.79"/>
  </r>
  <r>
    <x v="0"/>
    <s v="D52"/>
    <x v="0"/>
    <x v="4"/>
    <x v="1"/>
    <x v="2"/>
    <n v="1"/>
    <n v="78.59"/>
  </r>
  <r>
    <x v="0"/>
    <s v="D52"/>
    <x v="0"/>
    <x v="4"/>
    <x v="1"/>
    <x v="3"/>
    <n v="1"/>
    <n v="78.59"/>
  </r>
  <r>
    <x v="0"/>
    <s v="D52"/>
    <x v="0"/>
    <x v="4"/>
    <x v="1"/>
    <x v="4"/>
    <n v="1.0629"/>
    <n v="83.53"/>
  </r>
  <r>
    <x v="0"/>
    <s v="D52"/>
    <x v="0"/>
    <x v="4"/>
    <x v="1"/>
    <x v="5"/>
    <n v="1"/>
    <n v="78.59"/>
  </r>
  <r>
    <x v="0"/>
    <s v="D53"/>
    <x v="0"/>
    <x v="4"/>
    <x v="2"/>
    <x v="0"/>
    <n v="1"/>
    <n v="83.25"/>
  </r>
  <r>
    <x v="0"/>
    <s v="D53"/>
    <x v="0"/>
    <x v="4"/>
    <x v="2"/>
    <x v="1"/>
    <n v="1.0789"/>
    <n v="89.82"/>
  </r>
  <r>
    <x v="0"/>
    <s v="D53"/>
    <x v="0"/>
    <x v="4"/>
    <x v="2"/>
    <x v="2"/>
    <n v="1"/>
    <n v="83.25"/>
  </r>
  <r>
    <x v="0"/>
    <s v="D53"/>
    <x v="0"/>
    <x v="4"/>
    <x v="2"/>
    <x v="3"/>
    <n v="1"/>
    <n v="83.25"/>
  </r>
  <r>
    <x v="0"/>
    <s v="D53"/>
    <x v="0"/>
    <x v="4"/>
    <x v="2"/>
    <x v="4"/>
    <n v="1.0629"/>
    <n v="88.49"/>
  </r>
  <r>
    <x v="0"/>
    <s v="D53"/>
    <x v="0"/>
    <x v="4"/>
    <x v="2"/>
    <x v="5"/>
    <n v="1"/>
    <n v="83.25"/>
  </r>
  <r>
    <x v="0"/>
    <s v="D54"/>
    <x v="0"/>
    <x v="4"/>
    <x v="3"/>
    <x v="0"/>
    <n v="1"/>
    <n v="89.55"/>
  </r>
  <r>
    <x v="0"/>
    <s v="D54"/>
    <x v="0"/>
    <x v="4"/>
    <x v="3"/>
    <x v="1"/>
    <n v="1.0789"/>
    <n v="96.62"/>
  </r>
  <r>
    <x v="0"/>
    <s v="D54"/>
    <x v="0"/>
    <x v="4"/>
    <x v="3"/>
    <x v="2"/>
    <n v="1"/>
    <n v="89.55"/>
  </r>
  <r>
    <x v="0"/>
    <s v="D54"/>
    <x v="0"/>
    <x v="4"/>
    <x v="3"/>
    <x v="3"/>
    <n v="1"/>
    <n v="89.55"/>
  </r>
  <r>
    <x v="0"/>
    <s v="D54"/>
    <x v="0"/>
    <x v="4"/>
    <x v="3"/>
    <x v="4"/>
    <n v="1.0629"/>
    <n v="95.18"/>
  </r>
  <r>
    <x v="0"/>
    <s v="D54"/>
    <x v="0"/>
    <x v="4"/>
    <x v="3"/>
    <x v="5"/>
    <n v="1"/>
    <n v="89.55"/>
  </r>
  <r>
    <x v="0"/>
    <s v="D55"/>
    <x v="0"/>
    <x v="4"/>
    <x v="4"/>
    <x v="0"/>
    <n v="1"/>
    <n v="95.09"/>
  </r>
  <r>
    <x v="0"/>
    <s v="D55"/>
    <x v="0"/>
    <x v="4"/>
    <x v="4"/>
    <x v="1"/>
    <n v="1.0789"/>
    <n v="102.59"/>
  </r>
  <r>
    <x v="0"/>
    <s v="D55"/>
    <x v="0"/>
    <x v="4"/>
    <x v="4"/>
    <x v="2"/>
    <n v="1"/>
    <n v="95.09"/>
  </r>
  <r>
    <x v="0"/>
    <s v="D55"/>
    <x v="0"/>
    <x v="4"/>
    <x v="4"/>
    <x v="3"/>
    <n v="1"/>
    <n v="95.09"/>
  </r>
  <r>
    <x v="0"/>
    <s v="D55"/>
    <x v="0"/>
    <x v="4"/>
    <x v="4"/>
    <x v="4"/>
    <n v="1.0629"/>
    <n v="101.07"/>
  </r>
  <r>
    <x v="0"/>
    <s v="D55"/>
    <x v="0"/>
    <x v="4"/>
    <x v="4"/>
    <x v="5"/>
    <n v="1"/>
    <n v="95.09"/>
  </r>
  <r>
    <x v="0"/>
    <s v="R11"/>
    <x v="1"/>
    <x v="0"/>
    <x v="0"/>
    <x v="0"/>
    <n v="1"/>
    <n v="27.12"/>
  </r>
  <r>
    <x v="0"/>
    <s v="R11"/>
    <x v="1"/>
    <x v="0"/>
    <x v="0"/>
    <x v="1"/>
    <n v="1.0789"/>
    <n v="29.26"/>
  </r>
  <r>
    <x v="0"/>
    <s v="R11"/>
    <x v="1"/>
    <x v="0"/>
    <x v="0"/>
    <x v="2"/>
    <n v="1"/>
    <n v="27.12"/>
  </r>
  <r>
    <x v="0"/>
    <s v="R11"/>
    <x v="1"/>
    <x v="0"/>
    <x v="0"/>
    <x v="3"/>
    <n v="1"/>
    <n v="27.12"/>
  </r>
  <r>
    <x v="0"/>
    <s v="R11"/>
    <x v="1"/>
    <x v="0"/>
    <x v="0"/>
    <x v="4"/>
    <n v="1.0629"/>
    <n v="28.83"/>
  </r>
  <r>
    <x v="0"/>
    <s v="R11"/>
    <x v="1"/>
    <x v="0"/>
    <x v="0"/>
    <x v="5"/>
    <n v="1"/>
    <n v="27.12"/>
  </r>
  <r>
    <x v="0"/>
    <s v="R12"/>
    <x v="1"/>
    <x v="0"/>
    <x v="1"/>
    <x v="0"/>
    <n v="1"/>
    <n v="29.65"/>
  </r>
  <r>
    <x v="0"/>
    <s v="R12"/>
    <x v="1"/>
    <x v="0"/>
    <x v="1"/>
    <x v="1"/>
    <n v="1.0789"/>
    <n v="31.99"/>
  </r>
  <r>
    <x v="0"/>
    <s v="R12"/>
    <x v="1"/>
    <x v="0"/>
    <x v="1"/>
    <x v="2"/>
    <n v="1"/>
    <n v="29.65"/>
  </r>
  <r>
    <x v="0"/>
    <s v="R12"/>
    <x v="1"/>
    <x v="0"/>
    <x v="1"/>
    <x v="3"/>
    <n v="1"/>
    <n v="29.65"/>
  </r>
  <r>
    <x v="0"/>
    <s v="R12"/>
    <x v="1"/>
    <x v="0"/>
    <x v="1"/>
    <x v="4"/>
    <n v="1.0629"/>
    <n v="31.51"/>
  </r>
  <r>
    <x v="0"/>
    <s v="R12"/>
    <x v="1"/>
    <x v="0"/>
    <x v="1"/>
    <x v="5"/>
    <n v="1"/>
    <n v="29.65"/>
  </r>
  <r>
    <x v="0"/>
    <s v="R13"/>
    <x v="1"/>
    <x v="0"/>
    <x v="2"/>
    <x v="0"/>
    <n v="1"/>
    <n v="33.76"/>
  </r>
  <r>
    <x v="0"/>
    <s v="R13"/>
    <x v="1"/>
    <x v="0"/>
    <x v="2"/>
    <x v="1"/>
    <n v="1.0789"/>
    <n v="36.42"/>
  </r>
  <r>
    <x v="0"/>
    <s v="R13"/>
    <x v="1"/>
    <x v="0"/>
    <x v="2"/>
    <x v="2"/>
    <n v="1"/>
    <n v="33.76"/>
  </r>
  <r>
    <x v="0"/>
    <s v="R13"/>
    <x v="1"/>
    <x v="0"/>
    <x v="2"/>
    <x v="3"/>
    <n v="1"/>
    <n v="33.76"/>
  </r>
  <r>
    <x v="0"/>
    <s v="R13"/>
    <x v="1"/>
    <x v="0"/>
    <x v="2"/>
    <x v="4"/>
    <n v="1.0629"/>
    <n v="35.880000000000003"/>
  </r>
  <r>
    <x v="0"/>
    <s v="R13"/>
    <x v="1"/>
    <x v="0"/>
    <x v="2"/>
    <x v="5"/>
    <n v="1"/>
    <n v="33.76"/>
  </r>
  <r>
    <x v="0"/>
    <s v="R14"/>
    <x v="1"/>
    <x v="0"/>
    <x v="3"/>
    <x v="0"/>
    <n v="1"/>
    <n v="39.299999999999997"/>
  </r>
  <r>
    <x v="0"/>
    <s v="R14"/>
    <x v="1"/>
    <x v="0"/>
    <x v="3"/>
    <x v="1"/>
    <n v="1.0789"/>
    <n v="42.4"/>
  </r>
  <r>
    <x v="0"/>
    <s v="R14"/>
    <x v="1"/>
    <x v="0"/>
    <x v="3"/>
    <x v="2"/>
    <n v="1"/>
    <n v="39.299999999999997"/>
  </r>
  <r>
    <x v="0"/>
    <s v="R14"/>
    <x v="1"/>
    <x v="0"/>
    <x v="3"/>
    <x v="3"/>
    <n v="1"/>
    <n v="39.299999999999997"/>
  </r>
  <r>
    <x v="0"/>
    <s v="R14"/>
    <x v="1"/>
    <x v="0"/>
    <x v="3"/>
    <x v="4"/>
    <n v="1.0629"/>
    <n v="41.77"/>
  </r>
  <r>
    <x v="0"/>
    <s v="R14"/>
    <x v="1"/>
    <x v="0"/>
    <x v="3"/>
    <x v="5"/>
    <n v="1"/>
    <n v="39.299999999999997"/>
  </r>
  <r>
    <x v="0"/>
    <s v="R15"/>
    <x v="1"/>
    <x v="0"/>
    <x v="4"/>
    <x v="0"/>
    <n v="1"/>
    <n v="44.14"/>
  </r>
  <r>
    <x v="0"/>
    <s v="R15"/>
    <x v="1"/>
    <x v="0"/>
    <x v="4"/>
    <x v="1"/>
    <n v="1.0789"/>
    <n v="47.62"/>
  </r>
  <r>
    <x v="0"/>
    <s v="R15"/>
    <x v="1"/>
    <x v="0"/>
    <x v="4"/>
    <x v="2"/>
    <n v="1"/>
    <n v="44.14"/>
  </r>
  <r>
    <x v="0"/>
    <s v="R15"/>
    <x v="1"/>
    <x v="0"/>
    <x v="4"/>
    <x v="3"/>
    <n v="1"/>
    <n v="44.14"/>
  </r>
  <r>
    <x v="0"/>
    <s v="R15"/>
    <x v="1"/>
    <x v="0"/>
    <x v="4"/>
    <x v="4"/>
    <n v="1.0629"/>
    <n v="46.92"/>
  </r>
  <r>
    <x v="0"/>
    <s v="R15"/>
    <x v="1"/>
    <x v="0"/>
    <x v="4"/>
    <x v="5"/>
    <n v="1"/>
    <n v="44.14"/>
  </r>
  <r>
    <x v="0"/>
    <s v="R21"/>
    <x v="1"/>
    <x v="1"/>
    <x v="0"/>
    <x v="0"/>
    <n v="1"/>
    <n v="48.54"/>
  </r>
  <r>
    <x v="0"/>
    <s v="R21"/>
    <x v="1"/>
    <x v="1"/>
    <x v="0"/>
    <x v="1"/>
    <n v="1.0789"/>
    <n v="52.37"/>
  </r>
  <r>
    <x v="0"/>
    <s v="R21"/>
    <x v="1"/>
    <x v="1"/>
    <x v="0"/>
    <x v="2"/>
    <n v="1"/>
    <n v="48.54"/>
  </r>
  <r>
    <x v="0"/>
    <s v="R21"/>
    <x v="1"/>
    <x v="1"/>
    <x v="0"/>
    <x v="3"/>
    <n v="1"/>
    <n v="48.54"/>
  </r>
  <r>
    <x v="0"/>
    <s v="R21"/>
    <x v="1"/>
    <x v="1"/>
    <x v="0"/>
    <x v="4"/>
    <n v="1.0629"/>
    <n v="51.59"/>
  </r>
  <r>
    <x v="0"/>
    <s v="R21"/>
    <x v="1"/>
    <x v="1"/>
    <x v="0"/>
    <x v="5"/>
    <n v="1"/>
    <n v="48.54"/>
  </r>
  <r>
    <x v="0"/>
    <s v="R22"/>
    <x v="1"/>
    <x v="1"/>
    <x v="1"/>
    <x v="0"/>
    <n v="1"/>
    <n v="51.08"/>
  </r>
  <r>
    <x v="0"/>
    <s v="R22"/>
    <x v="1"/>
    <x v="1"/>
    <x v="1"/>
    <x v="1"/>
    <n v="1.0789"/>
    <n v="55.11"/>
  </r>
  <r>
    <x v="0"/>
    <s v="R22"/>
    <x v="1"/>
    <x v="1"/>
    <x v="1"/>
    <x v="2"/>
    <n v="1"/>
    <n v="51.08"/>
  </r>
  <r>
    <x v="0"/>
    <s v="R22"/>
    <x v="1"/>
    <x v="1"/>
    <x v="1"/>
    <x v="3"/>
    <n v="1"/>
    <n v="51.08"/>
  </r>
  <r>
    <x v="0"/>
    <s v="R22"/>
    <x v="1"/>
    <x v="1"/>
    <x v="1"/>
    <x v="4"/>
    <n v="1.0629"/>
    <n v="54.29"/>
  </r>
  <r>
    <x v="0"/>
    <s v="R22"/>
    <x v="1"/>
    <x v="1"/>
    <x v="1"/>
    <x v="5"/>
    <n v="1"/>
    <n v="51.08"/>
  </r>
  <r>
    <x v="0"/>
    <s v="R23"/>
    <x v="1"/>
    <x v="1"/>
    <x v="2"/>
    <x v="0"/>
    <n v="1"/>
    <n v="55.17"/>
  </r>
  <r>
    <x v="0"/>
    <s v="R23"/>
    <x v="1"/>
    <x v="1"/>
    <x v="2"/>
    <x v="1"/>
    <n v="1.0789"/>
    <n v="59.52"/>
  </r>
  <r>
    <x v="0"/>
    <s v="R23"/>
    <x v="1"/>
    <x v="1"/>
    <x v="2"/>
    <x v="2"/>
    <n v="1"/>
    <n v="55.17"/>
  </r>
  <r>
    <x v="0"/>
    <s v="R23"/>
    <x v="1"/>
    <x v="1"/>
    <x v="2"/>
    <x v="3"/>
    <n v="1"/>
    <n v="55.17"/>
  </r>
  <r>
    <x v="0"/>
    <s v="R23"/>
    <x v="1"/>
    <x v="1"/>
    <x v="2"/>
    <x v="4"/>
    <n v="1.0629"/>
    <n v="58.64"/>
  </r>
  <r>
    <x v="0"/>
    <s v="R23"/>
    <x v="1"/>
    <x v="1"/>
    <x v="2"/>
    <x v="5"/>
    <n v="1"/>
    <n v="55.17"/>
  </r>
  <r>
    <x v="0"/>
    <s v="R24"/>
    <x v="1"/>
    <x v="1"/>
    <x v="3"/>
    <x v="0"/>
    <n v="1"/>
    <n v="60.72"/>
  </r>
  <r>
    <x v="0"/>
    <s v="R24"/>
    <x v="1"/>
    <x v="1"/>
    <x v="3"/>
    <x v="1"/>
    <n v="1.0789"/>
    <n v="65.510000000000005"/>
  </r>
  <r>
    <x v="0"/>
    <s v="R24"/>
    <x v="1"/>
    <x v="1"/>
    <x v="3"/>
    <x v="2"/>
    <n v="1"/>
    <n v="60.72"/>
  </r>
  <r>
    <x v="0"/>
    <s v="R24"/>
    <x v="1"/>
    <x v="1"/>
    <x v="3"/>
    <x v="3"/>
    <n v="1"/>
    <n v="60.72"/>
  </r>
  <r>
    <x v="0"/>
    <s v="R24"/>
    <x v="1"/>
    <x v="1"/>
    <x v="3"/>
    <x v="4"/>
    <n v="1.0629"/>
    <n v="64.540000000000006"/>
  </r>
  <r>
    <x v="0"/>
    <s v="R24"/>
    <x v="1"/>
    <x v="1"/>
    <x v="3"/>
    <x v="5"/>
    <n v="1"/>
    <n v="60.72"/>
  </r>
  <r>
    <x v="0"/>
    <s v="R25"/>
    <x v="1"/>
    <x v="1"/>
    <x v="4"/>
    <x v="0"/>
    <n v="1"/>
    <n v="65.58"/>
  </r>
  <r>
    <x v="0"/>
    <s v="R25"/>
    <x v="1"/>
    <x v="1"/>
    <x v="4"/>
    <x v="1"/>
    <n v="1.0789"/>
    <n v="70.75"/>
  </r>
  <r>
    <x v="0"/>
    <s v="R25"/>
    <x v="1"/>
    <x v="1"/>
    <x v="4"/>
    <x v="2"/>
    <n v="1"/>
    <n v="65.58"/>
  </r>
  <r>
    <x v="0"/>
    <s v="R25"/>
    <x v="1"/>
    <x v="1"/>
    <x v="4"/>
    <x v="3"/>
    <n v="1"/>
    <n v="65.58"/>
  </r>
  <r>
    <x v="0"/>
    <s v="R25"/>
    <x v="1"/>
    <x v="1"/>
    <x v="4"/>
    <x v="4"/>
    <n v="1.0629"/>
    <n v="69.7"/>
  </r>
  <r>
    <x v="0"/>
    <s v="R25"/>
    <x v="1"/>
    <x v="1"/>
    <x v="4"/>
    <x v="5"/>
    <n v="1"/>
    <n v="65.58"/>
  </r>
  <r>
    <x v="0"/>
    <s v="R31"/>
    <x v="1"/>
    <x v="2"/>
    <x v="0"/>
    <x v="0"/>
    <n v="1"/>
    <n v="82.74"/>
  </r>
  <r>
    <x v="0"/>
    <s v="R31"/>
    <x v="1"/>
    <x v="2"/>
    <x v="0"/>
    <x v="1"/>
    <n v="1.0789"/>
    <n v="89.27"/>
  </r>
  <r>
    <x v="0"/>
    <s v="R31"/>
    <x v="1"/>
    <x v="2"/>
    <x v="0"/>
    <x v="2"/>
    <n v="1"/>
    <n v="82.74"/>
  </r>
  <r>
    <x v="0"/>
    <s v="R31"/>
    <x v="1"/>
    <x v="2"/>
    <x v="0"/>
    <x v="3"/>
    <n v="1"/>
    <n v="82.74"/>
  </r>
  <r>
    <x v="0"/>
    <s v="R31"/>
    <x v="1"/>
    <x v="2"/>
    <x v="0"/>
    <x v="4"/>
    <n v="1.0629"/>
    <n v="87.94"/>
  </r>
  <r>
    <x v="0"/>
    <s v="R31"/>
    <x v="1"/>
    <x v="2"/>
    <x v="0"/>
    <x v="5"/>
    <n v="1"/>
    <n v="82.74"/>
  </r>
  <r>
    <x v="0"/>
    <s v="R32"/>
    <x v="1"/>
    <x v="2"/>
    <x v="1"/>
    <x v="0"/>
    <n v="1"/>
    <n v="85.31"/>
  </r>
  <r>
    <x v="0"/>
    <s v="R32"/>
    <x v="1"/>
    <x v="2"/>
    <x v="1"/>
    <x v="1"/>
    <n v="1.0789"/>
    <n v="92.04"/>
  </r>
  <r>
    <x v="0"/>
    <s v="R32"/>
    <x v="1"/>
    <x v="2"/>
    <x v="1"/>
    <x v="2"/>
    <n v="1"/>
    <n v="85.31"/>
  </r>
  <r>
    <x v="0"/>
    <s v="R32"/>
    <x v="1"/>
    <x v="2"/>
    <x v="1"/>
    <x v="3"/>
    <n v="1"/>
    <n v="85.31"/>
  </r>
  <r>
    <x v="0"/>
    <s v="R32"/>
    <x v="1"/>
    <x v="2"/>
    <x v="1"/>
    <x v="4"/>
    <n v="1.0629"/>
    <n v="90.68"/>
  </r>
  <r>
    <x v="0"/>
    <s v="R32"/>
    <x v="1"/>
    <x v="2"/>
    <x v="1"/>
    <x v="5"/>
    <n v="1"/>
    <n v="85.31"/>
  </r>
  <r>
    <x v="0"/>
    <s v="R33"/>
    <x v="1"/>
    <x v="2"/>
    <x v="2"/>
    <x v="0"/>
    <n v="1"/>
    <n v="89.36"/>
  </r>
  <r>
    <x v="0"/>
    <s v="R33"/>
    <x v="1"/>
    <x v="2"/>
    <x v="2"/>
    <x v="1"/>
    <n v="1.0789"/>
    <n v="96.41"/>
  </r>
  <r>
    <x v="0"/>
    <s v="R33"/>
    <x v="1"/>
    <x v="2"/>
    <x v="2"/>
    <x v="2"/>
    <n v="1"/>
    <n v="89.36"/>
  </r>
  <r>
    <x v="0"/>
    <s v="R33"/>
    <x v="1"/>
    <x v="2"/>
    <x v="2"/>
    <x v="3"/>
    <n v="1"/>
    <n v="89.36"/>
  </r>
  <r>
    <x v="0"/>
    <s v="R33"/>
    <x v="1"/>
    <x v="2"/>
    <x v="2"/>
    <x v="4"/>
    <n v="1.0629"/>
    <n v="94.98"/>
  </r>
  <r>
    <x v="0"/>
    <s v="R33"/>
    <x v="1"/>
    <x v="2"/>
    <x v="2"/>
    <x v="5"/>
    <n v="1"/>
    <n v="89.36"/>
  </r>
  <r>
    <x v="0"/>
    <s v="R34"/>
    <x v="1"/>
    <x v="2"/>
    <x v="3"/>
    <x v="0"/>
    <n v="1"/>
    <n v="94.89"/>
  </r>
  <r>
    <x v="0"/>
    <s v="R34"/>
    <x v="1"/>
    <x v="2"/>
    <x v="3"/>
    <x v="1"/>
    <n v="1.0789"/>
    <n v="102.38"/>
  </r>
  <r>
    <x v="0"/>
    <s v="R34"/>
    <x v="1"/>
    <x v="2"/>
    <x v="3"/>
    <x v="2"/>
    <n v="1"/>
    <n v="94.89"/>
  </r>
  <r>
    <x v="0"/>
    <s v="R34"/>
    <x v="1"/>
    <x v="2"/>
    <x v="3"/>
    <x v="3"/>
    <n v="1"/>
    <n v="94.89"/>
  </r>
  <r>
    <x v="0"/>
    <s v="R34"/>
    <x v="1"/>
    <x v="2"/>
    <x v="3"/>
    <x v="4"/>
    <n v="1.0629"/>
    <n v="100.86"/>
  </r>
  <r>
    <x v="0"/>
    <s v="R34"/>
    <x v="1"/>
    <x v="2"/>
    <x v="3"/>
    <x v="5"/>
    <n v="1"/>
    <n v="94.89"/>
  </r>
  <r>
    <x v="0"/>
    <s v="R35"/>
    <x v="1"/>
    <x v="2"/>
    <x v="4"/>
    <x v="0"/>
    <n v="1"/>
    <n v="99.8"/>
  </r>
  <r>
    <x v="0"/>
    <s v="R35"/>
    <x v="1"/>
    <x v="2"/>
    <x v="4"/>
    <x v="1"/>
    <n v="1.0789"/>
    <n v="107.67"/>
  </r>
  <r>
    <x v="0"/>
    <s v="R35"/>
    <x v="1"/>
    <x v="2"/>
    <x v="4"/>
    <x v="2"/>
    <n v="1"/>
    <n v="99.8"/>
  </r>
  <r>
    <x v="0"/>
    <s v="R35"/>
    <x v="1"/>
    <x v="2"/>
    <x v="4"/>
    <x v="3"/>
    <n v="1"/>
    <n v="99.8"/>
  </r>
  <r>
    <x v="0"/>
    <s v="R35"/>
    <x v="1"/>
    <x v="2"/>
    <x v="4"/>
    <x v="4"/>
    <n v="1.0629"/>
    <n v="106.08"/>
  </r>
  <r>
    <x v="0"/>
    <s v="R35"/>
    <x v="1"/>
    <x v="2"/>
    <x v="4"/>
    <x v="5"/>
    <n v="1"/>
    <n v="99.8"/>
  </r>
  <r>
    <x v="0"/>
    <s v="R41"/>
    <x v="1"/>
    <x v="3"/>
    <x v="0"/>
    <x v="0"/>
    <n v="1"/>
    <n v="134.03"/>
  </r>
  <r>
    <x v="0"/>
    <s v="R41"/>
    <x v="1"/>
    <x v="3"/>
    <x v="0"/>
    <x v="1"/>
    <n v="1.0789"/>
    <n v="144.6"/>
  </r>
  <r>
    <x v="0"/>
    <s v="R41"/>
    <x v="1"/>
    <x v="3"/>
    <x v="0"/>
    <x v="2"/>
    <n v="1"/>
    <n v="134.03"/>
  </r>
  <r>
    <x v="0"/>
    <s v="R41"/>
    <x v="1"/>
    <x v="3"/>
    <x v="0"/>
    <x v="3"/>
    <n v="1"/>
    <n v="134.03"/>
  </r>
  <r>
    <x v="0"/>
    <s v="R41"/>
    <x v="1"/>
    <x v="3"/>
    <x v="0"/>
    <x v="4"/>
    <n v="1.0629"/>
    <n v="142.46"/>
  </r>
  <r>
    <x v="0"/>
    <s v="R41"/>
    <x v="1"/>
    <x v="3"/>
    <x v="0"/>
    <x v="5"/>
    <n v="1"/>
    <n v="134.03"/>
  </r>
  <r>
    <x v="0"/>
    <s v="R42"/>
    <x v="1"/>
    <x v="3"/>
    <x v="1"/>
    <x v="0"/>
    <n v="1"/>
    <n v="136.58000000000001"/>
  </r>
  <r>
    <x v="0"/>
    <s v="R42"/>
    <x v="1"/>
    <x v="3"/>
    <x v="1"/>
    <x v="1"/>
    <n v="1.0789"/>
    <n v="147.36000000000001"/>
  </r>
  <r>
    <x v="0"/>
    <s v="R42"/>
    <x v="1"/>
    <x v="3"/>
    <x v="1"/>
    <x v="2"/>
    <n v="1"/>
    <n v="136.58000000000001"/>
  </r>
  <r>
    <x v="0"/>
    <s v="R42"/>
    <x v="1"/>
    <x v="3"/>
    <x v="1"/>
    <x v="3"/>
    <n v="1"/>
    <n v="136.58000000000001"/>
  </r>
  <r>
    <x v="0"/>
    <s v="R42"/>
    <x v="1"/>
    <x v="3"/>
    <x v="1"/>
    <x v="4"/>
    <n v="1.0629"/>
    <n v="145.16999999999999"/>
  </r>
  <r>
    <x v="0"/>
    <s v="R42"/>
    <x v="1"/>
    <x v="3"/>
    <x v="1"/>
    <x v="5"/>
    <n v="1"/>
    <n v="136.58000000000001"/>
  </r>
  <r>
    <x v="0"/>
    <s v="R43"/>
    <x v="1"/>
    <x v="3"/>
    <x v="2"/>
    <x v="0"/>
    <n v="1"/>
    <n v="140.68"/>
  </r>
  <r>
    <x v="0"/>
    <s v="R43"/>
    <x v="1"/>
    <x v="3"/>
    <x v="2"/>
    <x v="1"/>
    <n v="1.0789"/>
    <n v="151.78"/>
  </r>
  <r>
    <x v="0"/>
    <s v="R43"/>
    <x v="1"/>
    <x v="3"/>
    <x v="2"/>
    <x v="2"/>
    <n v="1"/>
    <n v="140.68"/>
  </r>
  <r>
    <x v="0"/>
    <s v="R43"/>
    <x v="1"/>
    <x v="3"/>
    <x v="2"/>
    <x v="3"/>
    <n v="1"/>
    <n v="140.68"/>
  </r>
  <r>
    <x v="0"/>
    <s v="R43"/>
    <x v="1"/>
    <x v="3"/>
    <x v="2"/>
    <x v="4"/>
    <n v="1.0629"/>
    <n v="149.53"/>
  </r>
  <r>
    <x v="0"/>
    <s v="R43"/>
    <x v="1"/>
    <x v="3"/>
    <x v="2"/>
    <x v="5"/>
    <n v="1"/>
    <n v="140.68"/>
  </r>
  <r>
    <x v="0"/>
    <s v="R44"/>
    <x v="1"/>
    <x v="3"/>
    <x v="3"/>
    <x v="0"/>
    <n v="1"/>
    <n v="146.22"/>
  </r>
  <r>
    <x v="0"/>
    <s v="R44"/>
    <x v="1"/>
    <x v="3"/>
    <x v="3"/>
    <x v="1"/>
    <n v="1.0789"/>
    <n v="157.76"/>
  </r>
  <r>
    <x v="0"/>
    <s v="R44"/>
    <x v="1"/>
    <x v="3"/>
    <x v="3"/>
    <x v="2"/>
    <n v="1"/>
    <n v="146.22"/>
  </r>
  <r>
    <x v="0"/>
    <s v="R44"/>
    <x v="1"/>
    <x v="3"/>
    <x v="3"/>
    <x v="3"/>
    <n v="1"/>
    <n v="146.22"/>
  </r>
  <r>
    <x v="0"/>
    <s v="R44"/>
    <x v="1"/>
    <x v="3"/>
    <x v="3"/>
    <x v="4"/>
    <n v="1.0629"/>
    <n v="155.41999999999999"/>
  </r>
  <r>
    <x v="0"/>
    <s v="R44"/>
    <x v="1"/>
    <x v="3"/>
    <x v="3"/>
    <x v="5"/>
    <n v="1"/>
    <n v="146.22"/>
  </r>
  <r>
    <x v="0"/>
    <s v="R45"/>
    <x v="1"/>
    <x v="3"/>
    <x v="4"/>
    <x v="0"/>
    <n v="1"/>
    <n v="151.08000000000001"/>
  </r>
  <r>
    <x v="0"/>
    <s v="R45"/>
    <x v="1"/>
    <x v="3"/>
    <x v="4"/>
    <x v="1"/>
    <n v="1.0789"/>
    <n v="163"/>
  </r>
  <r>
    <x v="0"/>
    <s v="R45"/>
    <x v="1"/>
    <x v="3"/>
    <x v="4"/>
    <x v="2"/>
    <n v="1"/>
    <n v="151.08000000000001"/>
  </r>
  <r>
    <x v="0"/>
    <s v="R45"/>
    <x v="1"/>
    <x v="3"/>
    <x v="4"/>
    <x v="3"/>
    <n v="1"/>
    <n v="151.08000000000001"/>
  </r>
  <r>
    <x v="0"/>
    <s v="R45"/>
    <x v="1"/>
    <x v="3"/>
    <x v="4"/>
    <x v="4"/>
    <n v="1.0629"/>
    <n v="160.58000000000001"/>
  </r>
  <r>
    <x v="0"/>
    <s v="R45"/>
    <x v="1"/>
    <x v="3"/>
    <x v="4"/>
    <x v="5"/>
    <n v="1"/>
    <n v="151.08000000000001"/>
  </r>
  <r>
    <x v="0"/>
    <s v="R51"/>
    <x v="1"/>
    <x v="4"/>
    <x v="0"/>
    <x v="0"/>
    <n v="1"/>
    <n v="192.2"/>
  </r>
  <r>
    <x v="0"/>
    <s v="R51"/>
    <x v="1"/>
    <x v="4"/>
    <x v="0"/>
    <x v="1"/>
    <n v="1.0789"/>
    <n v="207.36"/>
  </r>
  <r>
    <x v="0"/>
    <s v="R51"/>
    <x v="1"/>
    <x v="4"/>
    <x v="0"/>
    <x v="2"/>
    <n v="1"/>
    <n v="192.2"/>
  </r>
  <r>
    <x v="0"/>
    <s v="R51"/>
    <x v="1"/>
    <x v="4"/>
    <x v="0"/>
    <x v="3"/>
    <n v="1"/>
    <n v="192.2"/>
  </r>
  <r>
    <x v="0"/>
    <s v="R51"/>
    <x v="1"/>
    <x v="4"/>
    <x v="0"/>
    <x v="4"/>
    <n v="1.0629"/>
    <n v="204.29"/>
  </r>
  <r>
    <x v="0"/>
    <s v="R51"/>
    <x v="1"/>
    <x v="4"/>
    <x v="0"/>
    <x v="5"/>
    <n v="1"/>
    <n v="192.2"/>
  </r>
  <r>
    <x v="0"/>
    <s v="R52"/>
    <x v="1"/>
    <x v="4"/>
    <x v="1"/>
    <x v="0"/>
    <n v="1"/>
    <n v="194.71"/>
  </r>
  <r>
    <x v="0"/>
    <s v="R52"/>
    <x v="1"/>
    <x v="4"/>
    <x v="1"/>
    <x v="1"/>
    <n v="1.0789"/>
    <n v="210.07"/>
  </r>
  <r>
    <x v="0"/>
    <s v="R52"/>
    <x v="1"/>
    <x v="4"/>
    <x v="1"/>
    <x v="2"/>
    <n v="1"/>
    <n v="194.71"/>
  </r>
  <r>
    <x v="0"/>
    <s v="R52"/>
    <x v="1"/>
    <x v="4"/>
    <x v="1"/>
    <x v="3"/>
    <n v="1"/>
    <n v="194.71"/>
  </r>
  <r>
    <x v="0"/>
    <s v="R52"/>
    <x v="1"/>
    <x v="4"/>
    <x v="1"/>
    <x v="4"/>
    <n v="1.0629"/>
    <n v="206.96"/>
  </r>
  <r>
    <x v="0"/>
    <s v="R52"/>
    <x v="1"/>
    <x v="4"/>
    <x v="1"/>
    <x v="5"/>
    <n v="1"/>
    <n v="194.71"/>
  </r>
  <r>
    <x v="0"/>
    <s v="R53"/>
    <x v="1"/>
    <x v="4"/>
    <x v="2"/>
    <x v="0"/>
    <n v="1"/>
    <n v="198.81"/>
  </r>
  <r>
    <x v="0"/>
    <s v="R53"/>
    <x v="1"/>
    <x v="4"/>
    <x v="2"/>
    <x v="1"/>
    <n v="1.0789"/>
    <n v="214.5"/>
  </r>
  <r>
    <x v="0"/>
    <s v="R53"/>
    <x v="1"/>
    <x v="4"/>
    <x v="2"/>
    <x v="2"/>
    <n v="1"/>
    <n v="198.81"/>
  </r>
  <r>
    <x v="0"/>
    <s v="R53"/>
    <x v="1"/>
    <x v="4"/>
    <x v="2"/>
    <x v="3"/>
    <n v="1"/>
    <n v="198.81"/>
  </r>
  <r>
    <x v="0"/>
    <s v="R53"/>
    <x v="1"/>
    <x v="4"/>
    <x v="2"/>
    <x v="4"/>
    <n v="1.0629"/>
    <n v="211.32"/>
  </r>
  <r>
    <x v="0"/>
    <s v="R53"/>
    <x v="1"/>
    <x v="4"/>
    <x v="2"/>
    <x v="5"/>
    <n v="1"/>
    <n v="198.81"/>
  </r>
  <r>
    <x v="0"/>
    <s v="R54"/>
    <x v="1"/>
    <x v="4"/>
    <x v="3"/>
    <x v="0"/>
    <n v="1"/>
    <n v="204.34"/>
  </r>
  <r>
    <x v="0"/>
    <s v="R54"/>
    <x v="1"/>
    <x v="4"/>
    <x v="3"/>
    <x v="1"/>
    <n v="1.0789"/>
    <n v="220.46"/>
  </r>
  <r>
    <x v="0"/>
    <s v="R54"/>
    <x v="1"/>
    <x v="4"/>
    <x v="3"/>
    <x v="2"/>
    <n v="1"/>
    <n v="204.34"/>
  </r>
  <r>
    <x v="0"/>
    <s v="R54"/>
    <x v="1"/>
    <x v="4"/>
    <x v="3"/>
    <x v="3"/>
    <n v="1"/>
    <n v="204.34"/>
  </r>
  <r>
    <x v="0"/>
    <s v="R54"/>
    <x v="1"/>
    <x v="4"/>
    <x v="3"/>
    <x v="4"/>
    <n v="1.0629"/>
    <n v="217.19"/>
  </r>
  <r>
    <x v="0"/>
    <s v="R54"/>
    <x v="1"/>
    <x v="4"/>
    <x v="3"/>
    <x v="5"/>
    <n v="1"/>
    <n v="204.34"/>
  </r>
  <r>
    <x v="0"/>
    <s v="R55"/>
    <x v="1"/>
    <x v="4"/>
    <x v="4"/>
    <x v="0"/>
    <n v="1"/>
    <n v="209.21"/>
  </r>
  <r>
    <x v="0"/>
    <s v="R55"/>
    <x v="1"/>
    <x v="4"/>
    <x v="4"/>
    <x v="1"/>
    <n v="1.0789"/>
    <n v="225.72"/>
  </r>
  <r>
    <x v="0"/>
    <s v="R55"/>
    <x v="1"/>
    <x v="4"/>
    <x v="4"/>
    <x v="2"/>
    <n v="1"/>
    <n v="209.21"/>
  </r>
  <r>
    <x v="0"/>
    <s v="R55"/>
    <x v="1"/>
    <x v="4"/>
    <x v="4"/>
    <x v="3"/>
    <n v="1"/>
    <n v="209.21"/>
  </r>
  <r>
    <x v="0"/>
    <s v="R55"/>
    <x v="1"/>
    <x v="4"/>
    <x v="4"/>
    <x v="4"/>
    <n v="1.0629"/>
    <n v="222.37"/>
  </r>
  <r>
    <x v="0"/>
    <s v="R55"/>
    <x v="1"/>
    <x v="4"/>
    <x v="4"/>
    <x v="5"/>
    <n v="1"/>
    <n v="209.21"/>
  </r>
  <r>
    <x v="0"/>
    <s v="S11"/>
    <x v="2"/>
    <x v="0"/>
    <x v="0"/>
    <x v="0"/>
    <n v="1"/>
    <n v="27.69"/>
  </r>
  <r>
    <x v="0"/>
    <s v="S11"/>
    <x v="2"/>
    <x v="0"/>
    <x v="0"/>
    <x v="1"/>
    <n v="1.0789"/>
    <n v="29.87"/>
  </r>
  <r>
    <x v="0"/>
    <s v="S11"/>
    <x v="2"/>
    <x v="0"/>
    <x v="0"/>
    <x v="2"/>
    <n v="1"/>
    <n v="27.69"/>
  </r>
  <r>
    <x v="0"/>
    <s v="S11"/>
    <x v="2"/>
    <x v="0"/>
    <x v="0"/>
    <x v="3"/>
    <n v="1"/>
    <n v="27.69"/>
  </r>
  <r>
    <x v="0"/>
    <s v="S11"/>
    <x v="2"/>
    <x v="0"/>
    <x v="0"/>
    <x v="4"/>
    <n v="1.0629"/>
    <n v="29.43"/>
  </r>
  <r>
    <x v="0"/>
    <s v="S11"/>
    <x v="2"/>
    <x v="0"/>
    <x v="0"/>
    <x v="5"/>
    <n v="1"/>
    <n v="27.69"/>
  </r>
  <r>
    <x v="0"/>
    <s v="S12"/>
    <x v="2"/>
    <x v="0"/>
    <x v="1"/>
    <x v="0"/>
    <n v="1"/>
    <n v="30.56"/>
  </r>
  <r>
    <x v="0"/>
    <s v="S12"/>
    <x v="2"/>
    <x v="0"/>
    <x v="1"/>
    <x v="1"/>
    <n v="1.0789"/>
    <n v="32.97"/>
  </r>
  <r>
    <x v="0"/>
    <s v="S12"/>
    <x v="2"/>
    <x v="0"/>
    <x v="1"/>
    <x v="2"/>
    <n v="1"/>
    <n v="30.56"/>
  </r>
  <r>
    <x v="0"/>
    <s v="S12"/>
    <x v="2"/>
    <x v="0"/>
    <x v="1"/>
    <x v="3"/>
    <n v="1"/>
    <n v="30.56"/>
  </r>
  <r>
    <x v="0"/>
    <s v="S12"/>
    <x v="2"/>
    <x v="0"/>
    <x v="1"/>
    <x v="4"/>
    <n v="1.0629"/>
    <n v="32.479999999999997"/>
  </r>
  <r>
    <x v="0"/>
    <s v="S12"/>
    <x v="2"/>
    <x v="0"/>
    <x v="1"/>
    <x v="5"/>
    <n v="1"/>
    <n v="30.56"/>
  </r>
  <r>
    <x v="0"/>
    <s v="S13"/>
    <x v="2"/>
    <x v="0"/>
    <x v="2"/>
    <x v="0"/>
    <n v="1"/>
    <n v="35.229999999999997"/>
  </r>
  <r>
    <x v="0"/>
    <s v="S13"/>
    <x v="2"/>
    <x v="0"/>
    <x v="2"/>
    <x v="1"/>
    <n v="1.0789"/>
    <n v="38.01"/>
  </r>
  <r>
    <x v="0"/>
    <s v="S13"/>
    <x v="2"/>
    <x v="0"/>
    <x v="2"/>
    <x v="2"/>
    <n v="1"/>
    <n v="35.229999999999997"/>
  </r>
  <r>
    <x v="0"/>
    <s v="S13"/>
    <x v="2"/>
    <x v="0"/>
    <x v="2"/>
    <x v="3"/>
    <n v="1"/>
    <n v="35.229999999999997"/>
  </r>
  <r>
    <x v="0"/>
    <s v="S13"/>
    <x v="2"/>
    <x v="0"/>
    <x v="2"/>
    <x v="4"/>
    <n v="1.0629"/>
    <n v="37.450000000000003"/>
  </r>
  <r>
    <x v="0"/>
    <s v="S13"/>
    <x v="2"/>
    <x v="0"/>
    <x v="2"/>
    <x v="5"/>
    <n v="1"/>
    <n v="35.229999999999997"/>
  </r>
  <r>
    <x v="0"/>
    <s v="S14"/>
    <x v="2"/>
    <x v="0"/>
    <x v="3"/>
    <x v="0"/>
    <n v="1"/>
    <n v="41.56"/>
  </r>
  <r>
    <x v="0"/>
    <s v="S14"/>
    <x v="2"/>
    <x v="0"/>
    <x v="3"/>
    <x v="1"/>
    <n v="1.0789"/>
    <n v="44.84"/>
  </r>
  <r>
    <x v="0"/>
    <s v="S14"/>
    <x v="2"/>
    <x v="0"/>
    <x v="3"/>
    <x v="2"/>
    <n v="1"/>
    <n v="41.56"/>
  </r>
  <r>
    <x v="0"/>
    <s v="S14"/>
    <x v="2"/>
    <x v="0"/>
    <x v="3"/>
    <x v="3"/>
    <n v="1"/>
    <n v="41.56"/>
  </r>
  <r>
    <x v="0"/>
    <s v="S14"/>
    <x v="2"/>
    <x v="0"/>
    <x v="3"/>
    <x v="4"/>
    <n v="1.0629"/>
    <n v="44.17"/>
  </r>
  <r>
    <x v="0"/>
    <s v="S14"/>
    <x v="2"/>
    <x v="0"/>
    <x v="3"/>
    <x v="5"/>
    <n v="1"/>
    <n v="41.56"/>
  </r>
  <r>
    <x v="0"/>
    <s v="S15"/>
    <x v="2"/>
    <x v="0"/>
    <x v="4"/>
    <x v="0"/>
    <n v="1"/>
    <n v="47.1"/>
  </r>
  <r>
    <x v="0"/>
    <s v="S15"/>
    <x v="2"/>
    <x v="0"/>
    <x v="4"/>
    <x v="1"/>
    <n v="1.0789"/>
    <n v="50.82"/>
  </r>
  <r>
    <x v="0"/>
    <s v="S15"/>
    <x v="2"/>
    <x v="0"/>
    <x v="4"/>
    <x v="2"/>
    <n v="1"/>
    <n v="47.1"/>
  </r>
  <r>
    <x v="0"/>
    <s v="S15"/>
    <x v="2"/>
    <x v="0"/>
    <x v="4"/>
    <x v="3"/>
    <n v="1"/>
    <n v="47.1"/>
  </r>
  <r>
    <x v="0"/>
    <s v="S15"/>
    <x v="2"/>
    <x v="0"/>
    <x v="4"/>
    <x v="4"/>
    <n v="1.0629"/>
    <n v="50.06"/>
  </r>
  <r>
    <x v="0"/>
    <s v="S15"/>
    <x v="2"/>
    <x v="0"/>
    <x v="4"/>
    <x v="5"/>
    <n v="1"/>
    <n v="47.1"/>
  </r>
  <r>
    <x v="0"/>
    <s v="S21"/>
    <x v="2"/>
    <x v="1"/>
    <x v="0"/>
    <x v="0"/>
    <n v="1"/>
    <n v="33.090000000000003"/>
  </r>
  <r>
    <x v="0"/>
    <s v="S21"/>
    <x v="2"/>
    <x v="1"/>
    <x v="0"/>
    <x v="1"/>
    <n v="1.0789"/>
    <n v="35.700000000000003"/>
  </r>
  <r>
    <x v="0"/>
    <s v="S21"/>
    <x v="2"/>
    <x v="1"/>
    <x v="0"/>
    <x v="2"/>
    <n v="1"/>
    <n v="33.090000000000003"/>
  </r>
  <r>
    <x v="0"/>
    <s v="S21"/>
    <x v="2"/>
    <x v="1"/>
    <x v="0"/>
    <x v="3"/>
    <n v="1"/>
    <n v="33.090000000000003"/>
  </r>
  <r>
    <x v="0"/>
    <s v="S21"/>
    <x v="2"/>
    <x v="1"/>
    <x v="0"/>
    <x v="4"/>
    <n v="1.0629"/>
    <n v="35.17"/>
  </r>
  <r>
    <x v="0"/>
    <s v="S21"/>
    <x v="2"/>
    <x v="1"/>
    <x v="0"/>
    <x v="5"/>
    <n v="1"/>
    <n v="33.090000000000003"/>
  </r>
  <r>
    <x v="0"/>
    <s v="S22"/>
    <x v="2"/>
    <x v="1"/>
    <x v="1"/>
    <x v="0"/>
    <n v="1"/>
    <n v="35.950000000000003"/>
  </r>
  <r>
    <x v="0"/>
    <s v="S22"/>
    <x v="2"/>
    <x v="1"/>
    <x v="1"/>
    <x v="1"/>
    <n v="1.0789"/>
    <n v="38.79"/>
  </r>
  <r>
    <x v="0"/>
    <s v="S22"/>
    <x v="2"/>
    <x v="1"/>
    <x v="1"/>
    <x v="2"/>
    <n v="1"/>
    <n v="35.950000000000003"/>
  </r>
  <r>
    <x v="0"/>
    <s v="S22"/>
    <x v="2"/>
    <x v="1"/>
    <x v="1"/>
    <x v="3"/>
    <n v="1"/>
    <n v="35.950000000000003"/>
  </r>
  <r>
    <x v="0"/>
    <s v="S22"/>
    <x v="2"/>
    <x v="1"/>
    <x v="1"/>
    <x v="4"/>
    <n v="1.0629"/>
    <n v="38.21"/>
  </r>
  <r>
    <x v="0"/>
    <s v="S22"/>
    <x v="2"/>
    <x v="1"/>
    <x v="1"/>
    <x v="5"/>
    <n v="1"/>
    <n v="35.950000000000003"/>
  </r>
  <r>
    <x v="0"/>
    <s v="S23"/>
    <x v="2"/>
    <x v="1"/>
    <x v="2"/>
    <x v="0"/>
    <n v="1"/>
    <n v="40.65"/>
  </r>
  <r>
    <x v="0"/>
    <s v="S23"/>
    <x v="2"/>
    <x v="1"/>
    <x v="2"/>
    <x v="1"/>
    <n v="1.0789"/>
    <n v="43.86"/>
  </r>
  <r>
    <x v="0"/>
    <s v="S23"/>
    <x v="2"/>
    <x v="1"/>
    <x v="2"/>
    <x v="2"/>
    <n v="1"/>
    <n v="40.65"/>
  </r>
  <r>
    <x v="0"/>
    <s v="S23"/>
    <x v="2"/>
    <x v="1"/>
    <x v="2"/>
    <x v="3"/>
    <n v="1"/>
    <n v="40.65"/>
  </r>
  <r>
    <x v="0"/>
    <s v="S23"/>
    <x v="2"/>
    <x v="1"/>
    <x v="2"/>
    <x v="4"/>
    <n v="1.0629"/>
    <n v="43.21"/>
  </r>
  <r>
    <x v="0"/>
    <s v="S23"/>
    <x v="2"/>
    <x v="1"/>
    <x v="2"/>
    <x v="5"/>
    <n v="1"/>
    <n v="40.65"/>
  </r>
  <r>
    <x v="0"/>
    <s v="S24"/>
    <x v="2"/>
    <x v="1"/>
    <x v="3"/>
    <x v="0"/>
    <n v="1"/>
    <n v="46.9"/>
  </r>
  <r>
    <x v="0"/>
    <s v="S24"/>
    <x v="2"/>
    <x v="1"/>
    <x v="3"/>
    <x v="1"/>
    <n v="1.0789"/>
    <n v="50.6"/>
  </r>
  <r>
    <x v="0"/>
    <s v="S24"/>
    <x v="2"/>
    <x v="1"/>
    <x v="3"/>
    <x v="2"/>
    <n v="1"/>
    <n v="46.9"/>
  </r>
  <r>
    <x v="0"/>
    <s v="S24"/>
    <x v="2"/>
    <x v="1"/>
    <x v="3"/>
    <x v="3"/>
    <n v="1"/>
    <n v="46.9"/>
  </r>
  <r>
    <x v="0"/>
    <s v="S24"/>
    <x v="2"/>
    <x v="1"/>
    <x v="3"/>
    <x v="4"/>
    <n v="1.0629"/>
    <n v="49.85"/>
  </r>
  <r>
    <x v="0"/>
    <s v="S24"/>
    <x v="2"/>
    <x v="1"/>
    <x v="3"/>
    <x v="5"/>
    <n v="1"/>
    <n v="46.9"/>
  </r>
  <r>
    <x v="0"/>
    <s v="S25"/>
    <x v="2"/>
    <x v="1"/>
    <x v="4"/>
    <x v="0"/>
    <n v="1"/>
    <n v="52.46"/>
  </r>
  <r>
    <x v="0"/>
    <s v="S25"/>
    <x v="2"/>
    <x v="1"/>
    <x v="4"/>
    <x v="1"/>
    <n v="1.0789"/>
    <n v="56.6"/>
  </r>
  <r>
    <x v="0"/>
    <s v="S25"/>
    <x v="2"/>
    <x v="1"/>
    <x v="4"/>
    <x v="2"/>
    <n v="1"/>
    <n v="52.46"/>
  </r>
  <r>
    <x v="0"/>
    <s v="S25"/>
    <x v="2"/>
    <x v="1"/>
    <x v="4"/>
    <x v="3"/>
    <n v="1"/>
    <n v="52.46"/>
  </r>
  <r>
    <x v="0"/>
    <s v="S25"/>
    <x v="2"/>
    <x v="1"/>
    <x v="4"/>
    <x v="4"/>
    <n v="1.0629"/>
    <n v="55.76"/>
  </r>
  <r>
    <x v="0"/>
    <s v="S25"/>
    <x v="2"/>
    <x v="1"/>
    <x v="4"/>
    <x v="5"/>
    <n v="1"/>
    <n v="52.46"/>
  </r>
  <r>
    <x v="0"/>
    <s v="S31"/>
    <x v="2"/>
    <x v="2"/>
    <x v="0"/>
    <x v="0"/>
    <n v="1"/>
    <n v="43.58"/>
  </r>
  <r>
    <x v="0"/>
    <s v="S31"/>
    <x v="2"/>
    <x v="2"/>
    <x v="0"/>
    <x v="1"/>
    <n v="1.0789"/>
    <n v="47.02"/>
  </r>
  <r>
    <x v="0"/>
    <s v="S31"/>
    <x v="2"/>
    <x v="2"/>
    <x v="0"/>
    <x v="2"/>
    <n v="1"/>
    <n v="43.58"/>
  </r>
  <r>
    <x v="0"/>
    <s v="S31"/>
    <x v="2"/>
    <x v="2"/>
    <x v="0"/>
    <x v="3"/>
    <n v="1"/>
    <n v="43.58"/>
  </r>
  <r>
    <x v="0"/>
    <s v="S31"/>
    <x v="2"/>
    <x v="2"/>
    <x v="0"/>
    <x v="4"/>
    <n v="1.0629"/>
    <n v="46.32"/>
  </r>
  <r>
    <x v="0"/>
    <s v="S31"/>
    <x v="2"/>
    <x v="2"/>
    <x v="0"/>
    <x v="5"/>
    <n v="1"/>
    <n v="43.58"/>
  </r>
  <r>
    <x v="0"/>
    <s v="S32"/>
    <x v="2"/>
    <x v="2"/>
    <x v="1"/>
    <x v="0"/>
    <n v="1"/>
    <n v="46.48"/>
  </r>
  <r>
    <x v="0"/>
    <s v="S32"/>
    <x v="2"/>
    <x v="2"/>
    <x v="1"/>
    <x v="1"/>
    <n v="1.0789"/>
    <n v="50.15"/>
  </r>
  <r>
    <x v="0"/>
    <s v="S32"/>
    <x v="2"/>
    <x v="2"/>
    <x v="1"/>
    <x v="2"/>
    <n v="1"/>
    <n v="46.48"/>
  </r>
  <r>
    <x v="0"/>
    <s v="S32"/>
    <x v="2"/>
    <x v="2"/>
    <x v="1"/>
    <x v="3"/>
    <n v="1"/>
    <n v="46.48"/>
  </r>
  <r>
    <x v="0"/>
    <s v="S32"/>
    <x v="2"/>
    <x v="2"/>
    <x v="1"/>
    <x v="4"/>
    <n v="1.0629"/>
    <n v="49.4"/>
  </r>
  <r>
    <x v="0"/>
    <s v="S32"/>
    <x v="2"/>
    <x v="2"/>
    <x v="1"/>
    <x v="5"/>
    <n v="1"/>
    <n v="46.48"/>
  </r>
  <r>
    <x v="0"/>
    <s v="S33"/>
    <x v="2"/>
    <x v="2"/>
    <x v="2"/>
    <x v="0"/>
    <n v="1"/>
    <n v="51.15"/>
  </r>
  <r>
    <x v="0"/>
    <s v="S33"/>
    <x v="2"/>
    <x v="2"/>
    <x v="2"/>
    <x v="1"/>
    <n v="1.0789"/>
    <n v="55.19"/>
  </r>
  <r>
    <x v="0"/>
    <s v="S33"/>
    <x v="2"/>
    <x v="2"/>
    <x v="2"/>
    <x v="2"/>
    <n v="1"/>
    <n v="51.15"/>
  </r>
  <r>
    <x v="0"/>
    <s v="S33"/>
    <x v="2"/>
    <x v="2"/>
    <x v="2"/>
    <x v="3"/>
    <n v="1"/>
    <n v="51.15"/>
  </r>
  <r>
    <x v="0"/>
    <s v="S33"/>
    <x v="2"/>
    <x v="2"/>
    <x v="2"/>
    <x v="4"/>
    <n v="1.0629"/>
    <n v="54.37"/>
  </r>
  <r>
    <x v="0"/>
    <s v="S33"/>
    <x v="2"/>
    <x v="2"/>
    <x v="2"/>
    <x v="5"/>
    <n v="1"/>
    <n v="51.15"/>
  </r>
  <r>
    <x v="0"/>
    <s v="S34"/>
    <x v="2"/>
    <x v="2"/>
    <x v="3"/>
    <x v="0"/>
    <n v="1"/>
    <n v="57.42"/>
  </r>
  <r>
    <x v="0"/>
    <s v="S34"/>
    <x v="2"/>
    <x v="2"/>
    <x v="3"/>
    <x v="1"/>
    <n v="1.0789"/>
    <n v="61.95"/>
  </r>
  <r>
    <x v="0"/>
    <s v="S34"/>
    <x v="2"/>
    <x v="2"/>
    <x v="3"/>
    <x v="2"/>
    <n v="1"/>
    <n v="57.42"/>
  </r>
  <r>
    <x v="0"/>
    <s v="S34"/>
    <x v="2"/>
    <x v="2"/>
    <x v="3"/>
    <x v="3"/>
    <n v="1"/>
    <n v="57.42"/>
  </r>
  <r>
    <x v="0"/>
    <s v="S34"/>
    <x v="2"/>
    <x v="2"/>
    <x v="3"/>
    <x v="4"/>
    <n v="1.0629"/>
    <n v="61.03"/>
  </r>
  <r>
    <x v="0"/>
    <s v="S34"/>
    <x v="2"/>
    <x v="2"/>
    <x v="3"/>
    <x v="5"/>
    <n v="1"/>
    <n v="57.42"/>
  </r>
  <r>
    <x v="0"/>
    <s v="S35"/>
    <x v="2"/>
    <x v="2"/>
    <x v="4"/>
    <x v="0"/>
    <n v="1"/>
    <n v="62.97"/>
  </r>
  <r>
    <x v="0"/>
    <s v="S35"/>
    <x v="2"/>
    <x v="2"/>
    <x v="4"/>
    <x v="1"/>
    <n v="1.0789"/>
    <n v="67.94"/>
  </r>
  <r>
    <x v="0"/>
    <s v="S35"/>
    <x v="2"/>
    <x v="2"/>
    <x v="4"/>
    <x v="2"/>
    <n v="1"/>
    <n v="62.97"/>
  </r>
  <r>
    <x v="0"/>
    <s v="S35"/>
    <x v="2"/>
    <x v="2"/>
    <x v="4"/>
    <x v="3"/>
    <n v="1"/>
    <n v="62.97"/>
  </r>
  <r>
    <x v="0"/>
    <s v="S35"/>
    <x v="2"/>
    <x v="2"/>
    <x v="4"/>
    <x v="4"/>
    <n v="1.0629"/>
    <n v="66.930000000000007"/>
  </r>
  <r>
    <x v="0"/>
    <s v="S35"/>
    <x v="2"/>
    <x v="2"/>
    <x v="4"/>
    <x v="5"/>
    <n v="1"/>
    <n v="62.97"/>
  </r>
  <r>
    <x v="0"/>
    <s v="S41"/>
    <x v="2"/>
    <x v="3"/>
    <x v="0"/>
    <x v="0"/>
    <n v="1"/>
    <n v="54.37"/>
  </r>
  <r>
    <x v="0"/>
    <s v="S41"/>
    <x v="2"/>
    <x v="3"/>
    <x v="0"/>
    <x v="1"/>
    <n v="1.0789"/>
    <n v="58.66"/>
  </r>
  <r>
    <x v="0"/>
    <s v="S41"/>
    <x v="2"/>
    <x v="3"/>
    <x v="0"/>
    <x v="2"/>
    <n v="1"/>
    <n v="54.37"/>
  </r>
  <r>
    <x v="0"/>
    <s v="S41"/>
    <x v="2"/>
    <x v="3"/>
    <x v="0"/>
    <x v="3"/>
    <n v="1"/>
    <n v="54.37"/>
  </r>
  <r>
    <x v="0"/>
    <s v="S41"/>
    <x v="2"/>
    <x v="3"/>
    <x v="0"/>
    <x v="4"/>
    <n v="1.0629"/>
    <n v="57.79"/>
  </r>
  <r>
    <x v="0"/>
    <s v="S41"/>
    <x v="2"/>
    <x v="3"/>
    <x v="0"/>
    <x v="5"/>
    <n v="1"/>
    <n v="54.37"/>
  </r>
  <r>
    <x v="0"/>
    <s v="S42"/>
    <x v="2"/>
    <x v="3"/>
    <x v="1"/>
    <x v="0"/>
    <n v="1"/>
    <n v="57.27"/>
  </r>
  <r>
    <x v="0"/>
    <s v="S42"/>
    <x v="2"/>
    <x v="3"/>
    <x v="1"/>
    <x v="1"/>
    <n v="1.0789"/>
    <n v="61.79"/>
  </r>
  <r>
    <x v="0"/>
    <s v="S42"/>
    <x v="2"/>
    <x v="3"/>
    <x v="1"/>
    <x v="2"/>
    <n v="1"/>
    <n v="57.27"/>
  </r>
  <r>
    <x v="0"/>
    <s v="S42"/>
    <x v="2"/>
    <x v="3"/>
    <x v="1"/>
    <x v="3"/>
    <n v="1"/>
    <n v="57.27"/>
  </r>
  <r>
    <x v="0"/>
    <s v="S42"/>
    <x v="2"/>
    <x v="3"/>
    <x v="1"/>
    <x v="4"/>
    <n v="1.0629"/>
    <n v="60.87"/>
  </r>
  <r>
    <x v="0"/>
    <s v="S42"/>
    <x v="2"/>
    <x v="3"/>
    <x v="1"/>
    <x v="5"/>
    <n v="1"/>
    <n v="57.27"/>
  </r>
  <r>
    <x v="0"/>
    <s v="S43"/>
    <x v="2"/>
    <x v="3"/>
    <x v="2"/>
    <x v="0"/>
    <n v="1"/>
    <n v="61.94"/>
  </r>
  <r>
    <x v="0"/>
    <s v="S43"/>
    <x v="2"/>
    <x v="3"/>
    <x v="2"/>
    <x v="1"/>
    <n v="1.0789"/>
    <n v="66.83"/>
  </r>
  <r>
    <x v="0"/>
    <s v="S43"/>
    <x v="2"/>
    <x v="3"/>
    <x v="2"/>
    <x v="2"/>
    <n v="1"/>
    <n v="61.94"/>
  </r>
  <r>
    <x v="0"/>
    <s v="S43"/>
    <x v="2"/>
    <x v="3"/>
    <x v="2"/>
    <x v="3"/>
    <n v="1"/>
    <n v="61.94"/>
  </r>
  <r>
    <x v="0"/>
    <s v="S43"/>
    <x v="2"/>
    <x v="3"/>
    <x v="2"/>
    <x v="4"/>
    <n v="1.0629"/>
    <n v="65.84"/>
  </r>
  <r>
    <x v="0"/>
    <s v="S43"/>
    <x v="2"/>
    <x v="3"/>
    <x v="2"/>
    <x v="5"/>
    <n v="1"/>
    <n v="61.94"/>
  </r>
  <r>
    <x v="0"/>
    <s v="S44"/>
    <x v="2"/>
    <x v="3"/>
    <x v="3"/>
    <x v="0"/>
    <n v="1"/>
    <n v="68.25"/>
  </r>
  <r>
    <x v="0"/>
    <s v="S44"/>
    <x v="2"/>
    <x v="3"/>
    <x v="3"/>
    <x v="1"/>
    <n v="1.0789"/>
    <n v="73.63"/>
  </r>
  <r>
    <x v="0"/>
    <s v="S44"/>
    <x v="2"/>
    <x v="3"/>
    <x v="3"/>
    <x v="2"/>
    <n v="1"/>
    <n v="68.25"/>
  </r>
  <r>
    <x v="0"/>
    <s v="S44"/>
    <x v="2"/>
    <x v="3"/>
    <x v="3"/>
    <x v="3"/>
    <n v="1"/>
    <n v="68.25"/>
  </r>
  <r>
    <x v="0"/>
    <s v="S44"/>
    <x v="2"/>
    <x v="3"/>
    <x v="3"/>
    <x v="4"/>
    <n v="1.0629"/>
    <n v="72.540000000000006"/>
  </r>
  <r>
    <x v="0"/>
    <s v="S44"/>
    <x v="2"/>
    <x v="3"/>
    <x v="3"/>
    <x v="5"/>
    <n v="1"/>
    <n v="68.25"/>
  </r>
  <r>
    <x v="0"/>
    <s v="S45"/>
    <x v="2"/>
    <x v="3"/>
    <x v="4"/>
    <x v="0"/>
    <n v="1"/>
    <n v="73.77"/>
  </r>
  <r>
    <x v="0"/>
    <s v="S45"/>
    <x v="2"/>
    <x v="3"/>
    <x v="4"/>
    <x v="1"/>
    <n v="1.0789"/>
    <n v="79.59"/>
  </r>
  <r>
    <x v="0"/>
    <s v="S45"/>
    <x v="2"/>
    <x v="3"/>
    <x v="4"/>
    <x v="2"/>
    <n v="1"/>
    <n v="73.77"/>
  </r>
  <r>
    <x v="0"/>
    <s v="S45"/>
    <x v="2"/>
    <x v="3"/>
    <x v="4"/>
    <x v="3"/>
    <n v="1"/>
    <n v="73.77"/>
  </r>
  <r>
    <x v="0"/>
    <s v="S45"/>
    <x v="2"/>
    <x v="3"/>
    <x v="4"/>
    <x v="4"/>
    <n v="1.0629"/>
    <n v="78.41"/>
  </r>
  <r>
    <x v="0"/>
    <s v="S45"/>
    <x v="2"/>
    <x v="3"/>
    <x v="4"/>
    <x v="5"/>
    <n v="1"/>
    <n v="73.77"/>
  </r>
  <r>
    <x v="0"/>
    <s v="S51"/>
    <x v="2"/>
    <x v="4"/>
    <x v="0"/>
    <x v="0"/>
    <n v="1"/>
    <n v="75.709999999999994"/>
  </r>
  <r>
    <x v="0"/>
    <s v="S51"/>
    <x v="2"/>
    <x v="4"/>
    <x v="0"/>
    <x v="1"/>
    <n v="1.0789"/>
    <n v="81.680000000000007"/>
  </r>
  <r>
    <x v="0"/>
    <s v="S51"/>
    <x v="2"/>
    <x v="4"/>
    <x v="0"/>
    <x v="2"/>
    <n v="1"/>
    <n v="75.709999999999994"/>
  </r>
  <r>
    <x v="0"/>
    <s v="S51"/>
    <x v="2"/>
    <x v="4"/>
    <x v="0"/>
    <x v="3"/>
    <n v="1"/>
    <n v="75.709999999999994"/>
  </r>
  <r>
    <x v="0"/>
    <s v="S51"/>
    <x v="2"/>
    <x v="4"/>
    <x v="0"/>
    <x v="4"/>
    <n v="1.0629"/>
    <n v="80.47"/>
  </r>
  <r>
    <x v="0"/>
    <s v="S51"/>
    <x v="2"/>
    <x v="4"/>
    <x v="0"/>
    <x v="5"/>
    <n v="1"/>
    <n v="75.709999999999994"/>
  </r>
  <r>
    <x v="0"/>
    <s v="S52"/>
    <x v="2"/>
    <x v="4"/>
    <x v="1"/>
    <x v="0"/>
    <n v="1"/>
    <n v="78.59"/>
  </r>
  <r>
    <x v="0"/>
    <s v="S52"/>
    <x v="2"/>
    <x v="4"/>
    <x v="1"/>
    <x v="1"/>
    <n v="1.0789"/>
    <n v="84.79"/>
  </r>
  <r>
    <x v="0"/>
    <s v="S52"/>
    <x v="2"/>
    <x v="4"/>
    <x v="1"/>
    <x v="2"/>
    <n v="1"/>
    <n v="78.59"/>
  </r>
  <r>
    <x v="0"/>
    <s v="S52"/>
    <x v="2"/>
    <x v="4"/>
    <x v="1"/>
    <x v="3"/>
    <n v="1"/>
    <n v="78.59"/>
  </r>
  <r>
    <x v="0"/>
    <s v="S52"/>
    <x v="2"/>
    <x v="4"/>
    <x v="1"/>
    <x v="4"/>
    <n v="1.0629"/>
    <n v="83.53"/>
  </r>
  <r>
    <x v="0"/>
    <s v="S52"/>
    <x v="2"/>
    <x v="4"/>
    <x v="1"/>
    <x v="5"/>
    <n v="1"/>
    <n v="78.59"/>
  </r>
  <r>
    <x v="0"/>
    <s v="S53"/>
    <x v="2"/>
    <x v="4"/>
    <x v="2"/>
    <x v="0"/>
    <n v="1"/>
    <n v="83.25"/>
  </r>
  <r>
    <x v="0"/>
    <s v="S53"/>
    <x v="2"/>
    <x v="4"/>
    <x v="2"/>
    <x v="1"/>
    <n v="1.0789"/>
    <n v="89.82"/>
  </r>
  <r>
    <x v="0"/>
    <s v="S53"/>
    <x v="2"/>
    <x v="4"/>
    <x v="2"/>
    <x v="2"/>
    <n v="1"/>
    <n v="83.25"/>
  </r>
  <r>
    <x v="0"/>
    <s v="S53"/>
    <x v="2"/>
    <x v="4"/>
    <x v="2"/>
    <x v="3"/>
    <n v="1"/>
    <n v="83.25"/>
  </r>
  <r>
    <x v="0"/>
    <s v="S53"/>
    <x v="2"/>
    <x v="4"/>
    <x v="2"/>
    <x v="4"/>
    <n v="1.0629"/>
    <n v="88.49"/>
  </r>
  <r>
    <x v="0"/>
    <s v="S53"/>
    <x v="2"/>
    <x v="4"/>
    <x v="2"/>
    <x v="5"/>
    <n v="1"/>
    <n v="83.25"/>
  </r>
  <r>
    <x v="0"/>
    <s v="S54"/>
    <x v="2"/>
    <x v="4"/>
    <x v="3"/>
    <x v="0"/>
    <n v="1"/>
    <n v="89.55"/>
  </r>
  <r>
    <x v="0"/>
    <s v="S54"/>
    <x v="2"/>
    <x v="4"/>
    <x v="3"/>
    <x v="1"/>
    <n v="1.0789"/>
    <n v="96.62"/>
  </r>
  <r>
    <x v="0"/>
    <s v="S54"/>
    <x v="2"/>
    <x v="4"/>
    <x v="3"/>
    <x v="2"/>
    <n v="1"/>
    <n v="89.55"/>
  </r>
  <r>
    <x v="0"/>
    <s v="S54"/>
    <x v="2"/>
    <x v="4"/>
    <x v="3"/>
    <x v="3"/>
    <n v="1"/>
    <n v="89.55"/>
  </r>
  <r>
    <x v="0"/>
    <s v="S54"/>
    <x v="2"/>
    <x v="4"/>
    <x v="3"/>
    <x v="4"/>
    <n v="1.0629"/>
    <n v="95.18"/>
  </r>
  <r>
    <x v="0"/>
    <s v="S54"/>
    <x v="2"/>
    <x v="4"/>
    <x v="3"/>
    <x v="5"/>
    <n v="1"/>
    <n v="89.55"/>
  </r>
  <r>
    <x v="0"/>
    <s v="S55"/>
    <x v="2"/>
    <x v="4"/>
    <x v="4"/>
    <x v="0"/>
    <n v="1"/>
    <n v="95.09"/>
  </r>
  <r>
    <x v="0"/>
    <s v="S55"/>
    <x v="2"/>
    <x v="4"/>
    <x v="4"/>
    <x v="1"/>
    <n v="1.0789"/>
    <n v="102.59"/>
  </r>
  <r>
    <x v="0"/>
    <s v="S55"/>
    <x v="2"/>
    <x v="4"/>
    <x v="4"/>
    <x v="2"/>
    <n v="1"/>
    <n v="95.09"/>
  </r>
  <r>
    <x v="0"/>
    <s v="S55"/>
    <x v="2"/>
    <x v="4"/>
    <x v="4"/>
    <x v="3"/>
    <n v="1"/>
    <n v="95.09"/>
  </r>
  <r>
    <x v="0"/>
    <s v="S55"/>
    <x v="2"/>
    <x v="4"/>
    <x v="4"/>
    <x v="4"/>
    <n v="1.0629"/>
    <n v="101.07"/>
  </r>
  <r>
    <x v="0"/>
    <s v="S55"/>
    <x v="2"/>
    <x v="4"/>
    <x v="4"/>
    <x v="5"/>
    <n v="1"/>
    <n v="95.09"/>
  </r>
  <r>
    <x v="1"/>
    <s v="D11"/>
    <x v="0"/>
    <x v="0"/>
    <x v="0"/>
    <x v="0"/>
    <n v="1"/>
    <n v="28.8"/>
  </r>
  <r>
    <x v="1"/>
    <s v="D11"/>
    <x v="0"/>
    <x v="0"/>
    <x v="0"/>
    <x v="1"/>
    <n v="1.0789"/>
    <n v="31.07"/>
  </r>
  <r>
    <x v="1"/>
    <s v="D11"/>
    <x v="0"/>
    <x v="0"/>
    <x v="0"/>
    <x v="2"/>
    <n v="1"/>
    <n v="28.8"/>
  </r>
  <r>
    <x v="1"/>
    <s v="D11"/>
    <x v="0"/>
    <x v="0"/>
    <x v="0"/>
    <x v="3"/>
    <n v="1"/>
    <n v="28.8"/>
  </r>
  <r>
    <x v="1"/>
    <s v="D11"/>
    <x v="0"/>
    <x v="0"/>
    <x v="0"/>
    <x v="4"/>
    <n v="1.0629"/>
    <n v="30.61"/>
  </r>
  <r>
    <x v="1"/>
    <s v="D11"/>
    <x v="0"/>
    <x v="0"/>
    <x v="0"/>
    <x v="5"/>
    <n v="1"/>
    <n v="28.8"/>
  </r>
  <r>
    <x v="1"/>
    <s v="D12"/>
    <x v="0"/>
    <x v="0"/>
    <x v="1"/>
    <x v="0"/>
    <n v="1"/>
    <n v="31.78"/>
  </r>
  <r>
    <x v="1"/>
    <s v="D12"/>
    <x v="0"/>
    <x v="0"/>
    <x v="1"/>
    <x v="1"/>
    <n v="1.0789"/>
    <n v="34.29"/>
  </r>
  <r>
    <x v="1"/>
    <s v="D12"/>
    <x v="0"/>
    <x v="0"/>
    <x v="1"/>
    <x v="2"/>
    <n v="1"/>
    <n v="31.78"/>
  </r>
  <r>
    <x v="1"/>
    <s v="D12"/>
    <x v="0"/>
    <x v="0"/>
    <x v="1"/>
    <x v="3"/>
    <n v="1"/>
    <n v="31.78"/>
  </r>
  <r>
    <x v="1"/>
    <s v="D12"/>
    <x v="0"/>
    <x v="0"/>
    <x v="1"/>
    <x v="4"/>
    <n v="1.0629"/>
    <n v="33.78"/>
  </r>
  <r>
    <x v="1"/>
    <s v="D12"/>
    <x v="0"/>
    <x v="0"/>
    <x v="1"/>
    <x v="5"/>
    <n v="1"/>
    <n v="31.78"/>
  </r>
  <r>
    <x v="1"/>
    <s v="D13"/>
    <x v="0"/>
    <x v="0"/>
    <x v="2"/>
    <x v="0"/>
    <n v="1"/>
    <n v="36.64"/>
  </r>
  <r>
    <x v="1"/>
    <s v="D13"/>
    <x v="0"/>
    <x v="0"/>
    <x v="2"/>
    <x v="1"/>
    <n v="1.0789"/>
    <n v="39.53"/>
  </r>
  <r>
    <x v="1"/>
    <s v="D13"/>
    <x v="0"/>
    <x v="0"/>
    <x v="2"/>
    <x v="2"/>
    <n v="1"/>
    <n v="36.64"/>
  </r>
  <r>
    <x v="1"/>
    <s v="D13"/>
    <x v="0"/>
    <x v="0"/>
    <x v="2"/>
    <x v="3"/>
    <n v="1"/>
    <n v="36.64"/>
  </r>
  <r>
    <x v="1"/>
    <s v="D13"/>
    <x v="0"/>
    <x v="0"/>
    <x v="2"/>
    <x v="4"/>
    <n v="1.0629"/>
    <n v="38.94"/>
  </r>
  <r>
    <x v="1"/>
    <s v="D13"/>
    <x v="0"/>
    <x v="0"/>
    <x v="2"/>
    <x v="5"/>
    <n v="1"/>
    <n v="36.64"/>
  </r>
  <r>
    <x v="1"/>
    <s v="D14"/>
    <x v="0"/>
    <x v="0"/>
    <x v="3"/>
    <x v="0"/>
    <n v="1"/>
    <n v="43.22"/>
  </r>
  <r>
    <x v="1"/>
    <s v="D14"/>
    <x v="0"/>
    <x v="0"/>
    <x v="3"/>
    <x v="1"/>
    <n v="1.0789"/>
    <n v="46.63"/>
  </r>
  <r>
    <x v="1"/>
    <s v="D14"/>
    <x v="0"/>
    <x v="0"/>
    <x v="3"/>
    <x v="2"/>
    <n v="1"/>
    <n v="43.22"/>
  </r>
  <r>
    <x v="1"/>
    <s v="D14"/>
    <x v="0"/>
    <x v="0"/>
    <x v="3"/>
    <x v="3"/>
    <n v="1"/>
    <n v="43.22"/>
  </r>
  <r>
    <x v="1"/>
    <s v="D14"/>
    <x v="0"/>
    <x v="0"/>
    <x v="3"/>
    <x v="4"/>
    <n v="1.0629"/>
    <n v="45.94"/>
  </r>
  <r>
    <x v="1"/>
    <s v="D14"/>
    <x v="0"/>
    <x v="0"/>
    <x v="3"/>
    <x v="5"/>
    <n v="1"/>
    <n v="43.22"/>
  </r>
  <r>
    <x v="1"/>
    <s v="D15"/>
    <x v="0"/>
    <x v="0"/>
    <x v="4"/>
    <x v="0"/>
    <n v="1"/>
    <n v="48.98"/>
  </r>
  <r>
    <x v="1"/>
    <s v="D15"/>
    <x v="0"/>
    <x v="0"/>
    <x v="4"/>
    <x v="1"/>
    <n v="1.0789"/>
    <n v="52.84"/>
  </r>
  <r>
    <x v="1"/>
    <s v="D15"/>
    <x v="0"/>
    <x v="0"/>
    <x v="4"/>
    <x v="2"/>
    <n v="1"/>
    <n v="48.98"/>
  </r>
  <r>
    <x v="1"/>
    <s v="D15"/>
    <x v="0"/>
    <x v="0"/>
    <x v="4"/>
    <x v="3"/>
    <n v="1"/>
    <n v="48.98"/>
  </r>
  <r>
    <x v="1"/>
    <s v="D15"/>
    <x v="0"/>
    <x v="0"/>
    <x v="4"/>
    <x v="4"/>
    <n v="1.0629"/>
    <n v="52.06"/>
  </r>
  <r>
    <x v="1"/>
    <s v="D15"/>
    <x v="0"/>
    <x v="0"/>
    <x v="4"/>
    <x v="5"/>
    <n v="1"/>
    <n v="48.98"/>
  </r>
  <r>
    <x v="1"/>
    <s v="D21"/>
    <x v="0"/>
    <x v="1"/>
    <x v="0"/>
    <x v="0"/>
    <n v="1"/>
    <n v="34.409999999999997"/>
  </r>
  <r>
    <x v="1"/>
    <s v="D21"/>
    <x v="0"/>
    <x v="1"/>
    <x v="0"/>
    <x v="1"/>
    <n v="1.0789"/>
    <n v="37.119999999999997"/>
  </r>
  <r>
    <x v="1"/>
    <s v="D21"/>
    <x v="0"/>
    <x v="1"/>
    <x v="0"/>
    <x v="2"/>
    <n v="1"/>
    <n v="34.409999999999997"/>
  </r>
  <r>
    <x v="1"/>
    <s v="D21"/>
    <x v="0"/>
    <x v="1"/>
    <x v="0"/>
    <x v="3"/>
    <n v="1"/>
    <n v="34.409999999999997"/>
  </r>
  <r>
    <x v="1"/>
    <s v="D21"/>
    <x v="0"/>
    <x v="1"/>
    <x v="0"/>
    <x v="4"/>
    <n v="1.0629"/>
    <n v="36.57"/>
  </r>
  <r>
    <x v="1"/>
    <s v="D21"/>
    <x v="0"/>
    <x v="1"/>
    <x v="0"/>
    <x v="5"/>
    <n v="1"/>
    <n v="34.409999999999997"/>
  </r>
  <r>
    <x v="1"/>
    <s v="D22"/>
    <x v="0"/>
    <x v="1"/>
    <x v="1"/>
    <x v="0"/>
    <n v="1"/>
    <n v="37.39"/>
  </r>
  <r>
    <x v="1"/>
    <s v="D22"/>
    <x v="0"/>
    <x v="1"/>
    <x v="1"/>
    <x v="1"/>
    <n v="1.0789"/>
    <n v="40.340000000000003"/>
  </r>
  <r>
    <x v="1"/>
    <s v="D22"/>
    <x v="0"/>
    <x v="1"/>
    <x v="1"/>
    <x v="2"/>
    <n v="1"/>
    <n v="37.39"/>
  </r>
  <r>
    <x v="1"/>
    <s v="D22"/>
    <x v="0"/>
    <x v="1"/>
    <x v="1"/>
    <x v="3"/>
    <n v="1"/>
    <n v="37.39"/>
  </r>
  <r>
    <x v="1"/>
    <s v="D22"/>
    <x v="0"/>
    <x v="1"/>
    <x v="1"/>
    <x v="4"/>
    <n v="1.0629"/>
    <n v="39.74"/>
  </r>
  <r>
    <x v="1"/>
    <s v="D22"/>
    <x v="0"/>
    <x v="1"/>
    <x v="1"/>
    <x v="5"/>
    <n v="1"/>
    <n v="37.39"/>
  </r>
  <r>
    <x v="1"/>
    <s v="D23"/>
    <x v="0"/>
    <x v="1"/>
    <x v="2"/>
    <x v="0"/>
    <n v="1"/>
    <n v="42.28"/>
  </r>
  <r>
    <x v="1"/>
    <s v="D23"/>
    <x v="0"/>
    <x v="1"/>
    <x v="2"/>
    <x v="1"/>
    <n v="1.0789"/>
    <n v="45.62"/>
  </r>
  <r>
    <x v="1"/>
    <s v="D23"/>
    <x v="0"/>
    <x v="1"/>
    <x v="2"/>
    <x v="2"/>
    <n v="1"/>
    <n v="42.28"/>
  </r>
  <r>
    <x v="1"/>
    <s v="D23"/>
    <x v="0"/>
    <x v="1"/>
    <x v="2"/>
    <x v="3"/>
    <n v="1"/>
    <n v="42.28"/>
  </r>
  <r>
    <x v="1"/>
    <s v="D23"/>
    <x v="0"/>
    <x v="1"/>
    <x v="2"/>
    <x v="4"/>
    <n v="1.0629"/>
    <n v="44.94"/>
  </r>
  <r>
    <x v="1"/>
    <s v="D23"/>
    <x v="0"/>
    <x v="1"/>
    <x v="2"/>
    <x v="5"/>
    <n v="1"/>
    <n v="42.28"/>
  </r>
  <r>
    <x v="1"/>
    <s v="D24"/>
    <x v="0"/>
    <x v="1"/>
    <x v="3"/>
    <x v="0"/>
    <n v="1"/>
    <n v="48.78"/>
  </r>
  <r>
    <x v="1"/>
    <s v="D24"/>
    <x v="0"/>
    <x v="1"/>
    <x v="3"/>
    <x v="1"/>
    <n v="1.0789"/>
    <n v="52.63"/>
  </r>
  <r>
    <x v="1"/>
    <s v="D24"/>
    <x v="0"/>
    <x v="1"/>
    <x v="3"/>
    <x v="2"/>
    <n v="1"/>
    <n v="48.78"/>
  </r>
  <r>
    <x v="1"/>
    <s v="D24"/>
    <x v="0"/>
    <x v="1"/>
    <x v="3"/>
    <x v="3"/>
    <n v="1"/>
    <n v="48.78"/>
  </r>
  <r>
    <x v="1"/>
    <s v="D24"/>
    <x v="0"/>
    <x v="1"/>
    <x v="3"/>
    <x v="4"/>
    <n v="1.0629"/>
    <n v="51.85"/>
  </r>
  <r>
    <x v="1"/>
    <s v="D24"/>
    <x v="0"/>
    <x v="1"/>
    <x v="3"/>
    <x v="5"/>
    <n v="1"/>
    <n v="48.78"/>
  </r>
  <r>
    <x v="1"/>
    <s v="D25"/>
    <x v="0"/>
    <x v="1"/>
    <x v="4"/>
    <x v="0"/>
    <n v="1"/>
    <n v="54.56"/>
  </r>
  <r>
    <x v="1"/>
    <s v="D25"/>
    <x v="0"/>
    <x v="1"/>
    <x v="4"/>
    <x v="1"/>
    <n v="1.0789"/>
    <n v="58.86"/>
  </r>
  <r>
    <x v="1"/>
    <s v="D25"/>
    <x v="0"/>
    <x v="1"/>
    <x v="4"/>
    <x v="2"/>
    <n v="1"/>
    <n v="54.56"/>
  </r>
  <r>
    <x v="1"/>
    <s v="D25"/>
    <x v="0"/>
    <x v="1"/>
    <x v="4"/>
    <x v="3"/>
    <n v="1"/>
    <n v="54.56"/>
  </r>
  <r>
    <x v="1"/>
    <s v="D25"/>
    <x v="0"/>
    <x v="1"/>
    <x v="4"/>
    <x v="4"/>
    <n v="1.0629"/>
    <n v="57.99"/>
  </r>
  <r>
    <x v="1"/>
    <s v="D25"/>
    <x v="0"/>
    <x v="1"/>
    <x v="4"/>
    <x v="5"/>
    <n v="1"/>
    <n v="54.56"/>
  </r>
  <r>
    <x v="1"/>
    <s v="D31"/>
    <x v="0"/>
    <x v="2"/>
    <x v="0"/>
    <x v="0"/>
    <n v="1"/>
    <n v="45.32"/>
  </r>
  <r>
    <x v="1"/>
    <s v="D31"/>
    <x v="0"/>
    <x v="2"/>
    <x v="0"/>
    <x v="1"/>
    <n v="1.0789"/>
    <n v="48.9"/>
  </r>
  <r>
    <x v="1"/>
    <s v="D31"/>
    <x v="0"/>
    <x v="2"/>
    <x v="0"/>
    <x v="2"/>
    <n v="1"/>
    <n v="45.32"/>
  </r>
  <r>
    <x v="1"/>
    <s v="D31"/>
    <x v="0"/>
    <x v="2"/>
    <x v="0"/>
    <x v="3"/>
    <n v="1"/>
    <n v="45.32"/>
  </r>
  <r>
    <x v="1"/>
    <s v="D31"/>
    <x v="0"/>
    <x v="2"/>
    <x v="0"/>
    <x v="4"/>
    <n v="1.0629"/>
    <n v="48.17"/>
  </r>
  <r>
    <x v="1"/>
    <s v="D31"/>
    <x v="0"/>
    <x v="2"/>
    <x v="0"/>
    <x v="5"/>
    <n v="1"/>
    <n v="45.32"/>
  </r>
  <r>
    <x v="1"/>
    <s v="D32"/>
    <x v="0"/>
    <x v="2"/>
    <x v="1"/>
    <x v="0"/>
    <n v="1"/>
    <n v="48.34"/>
  </r>
  <r>
    <x v="1"/>
    <s v="D32"/>
    <x v="0"/>
    <x v="2"/>
    <x v="1"/>
    <x v="1"/>
    <n v="1.0789"/>
    <n v="52.15"/>
  </r>
  <r>
    <x v="1"/>
    <s v="D32"/>
    <x v="0"/>
    <x v="2"/>
    <x v="1"/>
    <x v="2"/>
    <n v="1"/>
    <n v="48.34"/>
  </r>
  <r>
    <x v="1"/>
    <s v="D32"/>
    <x v="0"/>
    <x v="2"/>
    <x v="1"/>
    <x v="3"/>
    <n v="1"/>
    <n v="48.34"/>
  </r>
  <r>
    <x v="1"/>
    <s v="D32"/>
    <x v="0"/>
    <x v="2"/>
    <x v="1"/>
    <x v="4"/>
    <n v="1.0629"/>
    <n v="51.38"/>
  </r>
  <r>
    <x v="1"/>
    <s v="D32"/>
    <x v="0"/>
    <x v="2"/>
    <x v="1"/>
    <x v="5"/>
    <n v="1"/>
    <n v="48.34"/>
  </r>
  <r>
    <x v="1"/>
    <s v="D33"/>
    <x v="0"/>
    <x v="2"/>
    <x v="2"/>
    <x v="0"/>
    <n v="1"/>
    <n v="53.2"/>
  </r>
  <r>
    <x v="1"/>
    <s v="D33"/>
    <x v="0"/>
    <x v="2"/>
    <x v="2"/>
    <x v="1"/>
    <n v="1.0789"/>
    <n v="57.4"/>
  </r>
  <r>
    <x v="1"/>
    <s v="D33"/>
    <x v="0"/>
    <x v="2"/>
    <x v="2"/>
    <x v="2"/>
    <n v="1"/>
    <n v="53.2"/>
  </r>
  <r>
    <x v="1"/>
    <s v="D33"/>
    <x v="0"/>
    <x v="2"/>
    <x v="2"/>
    <x v="3"/>
    <n v="1"/>
    <n v="53.2"/>
  </r>
  <r>
    <x v="1"/>
    <s v="D33"/>
    <x v="0"/>
    <x v="2"/>
    <x v="2"/>
    <x v="4"/>
    <n v="1.0629"/>
    <n v="56.55"/>
  </r>
  <r>
    <x v="1"/>
    <s v="D33"/>
    <x v="0"/>
    <x v="2"/>
    <x v="2"/>
    <x v="5"/>
    <n v="1"/>
    <n v="53.2"/>
  </r>
  <r>
    <x v="1"/>
    <s v="D34"/>
    <x v="0"/>
    <x v="2"/>
    <x v="3"/>
    <x v="0"/>
    <n v="1"/>
    <n v="59.72"/>
  </r>
  <r>
    <x v="1"/>
    <s v="D34"/>
    <x v="0"/>
    <x v="2"/>
    <x v="3"/>
    <x v="1"/>
    <n v="1.0789"/>
    <n v="64.430000000000007"/>
  </r>
  <r>
    <x v="1"/>
    <s v="D34"/>
    <x v="0"/>
    <x v="2"/>
    <x v="3"/>
    <x v="2"/>
    <n v="1"/>
    <n v="59.72"/>
  </r>
  <r>
    <x v="1"/>
    <s v="D34"/>
    <x v="0"/>
    <x v="2"/>
    <x v="3"/>
    <x v="3"/>
    <n v="1"/>
    <n v="59.72"/>
  </r>
  <r>
    <x v="1"/>
    <s v="D34"/>
    <x v="0"/>
    <x v="2"/>
    <x v="3"/>
    <x v="4"/>
    <n v="1.0629"/>
    <n v="63.48"/>
  </r>
  <r>
    <x v="1"/>
    <s v="D34"/>
    <x v="0"/>
    <x v="2"/>
    <x v="3"/>
    <x v="5"/>
    <n v="1"/>
    <n v="59.72"/>
  </r>
  <r>
    <x v="1"/>
    <s v="D35"/>
    <x v="0"/>
    <x v="2"/>
    <x v="4"/>
    <x v="0"/>
    <n v="1"/>
    <n v="65.489999999999995"/>
  </r>
  <r>
    <x v="1"/>
    <s v="D35"/>
    <x v="0"/>
    <x v="2"/>
    <x v="4"/>
    <x v="1"/>
    <n v="1.0789"/>
    <n v="70.66"/>
  </r>
  <r>
    <x v="1"/>
    <s v="D35"/>
    <x v="0"/>
    <x v="2"/>
    <x v="4"/>
    <x v="2"/>
    <n v="1"/>
    <n v="65.489999999999995"/>
  </r>
  <r>
    <x v="1"/>
    <s v="D35"/>
    <x v="0"/>
    <x v="2"/>
    <x v="4"/>
    <x v="3"/>
    <n v="1"/>
    <n v="65.489999999999995"/>
  </r>
  <r>
    <x v="1"/>
    <s v="D35"/>
    <x v="0"/>
    <x v="2"/>
    <x v="4"/>
    <x v="4"/>
    <n v="1.0629"/>
    <n v="69.61"/>
  </r>
  <r>
    <x v="1"/>
    <s v="D35"/>
    <x v="0"/>
    <x v="2"/>
    <x v="4"/>
    <x v="5"/>
    <n v="1"/>
    <n v="65.489999999999995"/>
  </r>
  <r>
    <x v="1"/>
    <s v="D41"/>
    <x v="0"/>
    <x v="3"/>
    <x v="0"/>
    <x v="0"/>
    <n v="1"/>
    <n v="56.54"/>
  </r>
  <r>
    <x v="1"/>
    <s v="D41"/>
    <x v="0"/>
    <x v="3"/>
    <x v="0"/>
    <x v="1"/>
    <n v="1.0789"/>
    <n v="61"/>
  </r>
  <r>
    <x v="1"/>
    <s v="D41"/>
    <x v="0"/>
    <x v="3"/>
    <x v="0"/>
    <x v="2"/>
    <n v="1"/>
    <n v="56.54"/>
  </r>
  <r>
    <x v="1"/>
    <s v="D41"/>
    <x v="0"/>
    <x v="3"/>
    <x v="0"/>
    <x v="3"/>
    <n v="1"/>
    <n v="56.54"/>
  </r>
  <r>
    <x v="1"/>
    <s v="D41"/>
    <x v="0"/>
    <x v="3"/>
    <x v="0"/>
    <x v="4"/>
    <n v="1.0629"/>
    <n v="60.1"/>
  </r>
  <r>
    <x v="1"/>
    <s v="D41"/>
    <x v="0"/>
    <x v="3"/>
    <x v="0"/>
    <x v="5"/>
    <n v="1"/>
    <n v="56.54"/>
  </r>
  <r>
    <x v="1"/>
    <s v="D42"/>
    <x v="0"/>
    <x v="3"/>
    <x v="1"/>
    <x v="0"/>
    <n v="1"/>
    <n v="59.56"/>
  </r>
  <r>
    <x v="1"/>
    <s v="D42"/>
    <x v="0"/>
    <x v="3"/>
    <x v="1"/>
    <x v="1"/>
    <n v="1.0789"/>
    <n v="64.260000000000005"/>
  </r>
  <r>
    <x v="1"/>
    <s v="D42"/>
    <x v="0"/>
    <x v="3"/>
    <x v="1"/>
    <x v="2"/>
    <n v="1"/>
    <n v="59.56"/>
  </r>
  <r>
    <x v="1"/>
    <s v="D42"/>
    <x v="0"/>
    <x v="3"/>
    <x v="1"/>
    <x v="3"/>
    <n v="1"/>
    <n v="59.56"/>
  </r>
  <r>
    <x v="1"/>
    <s v="D42"/>
    <x v="0"/>
    <x v="3"/>
    <x v="1"/>
    <x v="4"/>
    <n v="1.0629"/>
    <n v="63.31"/>
  </r>
  <r>
    <x v="1"/>
    <s v="D42"/>
    <x v="0"/>
    <x v="3"/>
    <x v="1"/>
    <x v="5"/>
    <n v="1"/>
    <n v="59.56"/>
  </r>
  <r>
    <x v="1"/>
    <s v="D43"/>
    <x v="0"/>
    <x v="3"/>
    <x v="2"/>
    <x v="0"/>
    <n v="1"/>
    <n v="64.42"/>
  </r>
  <r>
    <x v="1"/>
    <s v="D43"/>
    <x v="0"/>
    <x v="3"/>
    <x v="2"/>
    <x v="1"/>
    <n v="1.0789"/>
    <n v="69.5"/>
  </r>
  <r>
    <x v="1"/>
    <s v="D43"/>
    <x v="0"/>
    <x v="3"/>
    <x v="2"/>
    <x v="2"/>
    <n v="1"/>
    <n v="64.42"/>
  </r>
  <r>
    <x v="1"/>
    <s v="D43"/>
    <x v="0"/>
    <x v="3"/>
    <x v="2"/>
    <x v="3"/>
    <n v="1"/>
    <n v="64.42"/>
  </r>
  <r>
    <x v="1"/>
    <s v="D43"/>
    <x v="0"/>
    <x v="3"/>
    <x v="2"/>
    <x v="4"/>
    <n v="1.0629"/>
    <n v="68.47"/>
  </r>
  <r>
    <x v="1"/>
    <s v="D43"/>
    <x v="0"/>
    <x v="3"/>
    <x v="2"/>
    <x v="5"/>
    <n v="1"/>
    <n v="64.42"/>
  </r>
  <r>
    <x v="1"/>
    <s v="D44"/>
    <x v="0"/>
    <x v="3"/>
    <x v="3"/>
    <x v="0"/>
    <n v="1"/>
    <n v="70.98"/>
  </r>
  <r>
    <x v="1"/>
    <s v="D44"/>
    <x v="0"/>
    <x v="3"/>
    <x v="3"/>
    <x v="1"/>
    <n v="1.0789"/>
    <n v="76.58"/>
  </r>
  <r>
    <x v="1"/>
    <s v="D44"/>
    <x v="0"/>
    <x v="3"/>
    <x v="3"/>
    <x v="2"/>
    <n v="1"/>
    <n v="70.98"/>
  </r>
  <r>
    <x v="1"/>
    <s v="D44"/>
    <x v="0"/>
    <x v="3"/>
    <x v="3"/>
    <x v="3"/>
    <n v="1"/>
    <n v="70.98"/>
  </r>
  <r>
    <x v="1"/>
    <s v="D44"/>
    <x v="0"/>
    <x v="3"/>
    <x v="3"/>
    <x v="4"/>
    <n v="1.0629"/>
    <n v="75.44"/>
  </r>
  <r>
    <x v="1"/>
    <s v="D44"/>
    <x v="0"/>
    <x v="3"/>
    <x v="3"/>
    <x v="5"/>
    <n v="1"/>
    <n v="70.98"/>
  </r>
  <r>
    <x v="1"/>
    <s v="D45"/>
    <x v="0"/>
    <x v="3"/>
    <x v="4"/>
    <x v="0"/>
    <n v="1"/>
    <n v="76.72"/>
  </r>
  <r>
    <x v="1"/>
    <s v="D45"/>
    <x v="0"/>
    <x v="3"/>
    <x v="4"/>
    <x v="1"/>
    <n v="1.0789"/>
    <n v="82.77"/>
  </r>
  <r>
    <x v="1"/>
    <s v="D45"/>
    <x v="0"/>
    <x v="3"/>
    <x v="4"/>
    <x v="2"/>
    <n v="1"/>
    <n v="76.72"/>
  </r>
  <r>
    <x v="1"/>
    <s v="D45"/>
    <x v="0"/>
    <x v="3"/>
    <x v="4"/>
    <x v="3"/>
    <n v="1"/>
    <n v="76.72"/>
  </r>
  <r>
    <x v="1"/>
    <s v="D45"/>
    <x v="0"/>
    <x v="3"/>
    <x v="4"/>
    <x v="4"/>
    <n v="1.0629"/>
    <n v="81.55"/>
  </r>
  <r>
    <x v="1"/>
    <s v="D45"/>
    <x v="0"/>
    <x v="3"/>
    <x v="4"/>
    <x v="5"/>
    <n v="1"/>
    <n v="76.72"/>
  </r>
  <r>
    <x v="1"/>
    <s v="D51"/>
    <x v="0"/>
    <x v="4"/>
    <x v="0"/>
    <x v="0"/>
    <n v="1"/>
    <n v="78.739999999999995"/>
  </r>
  <r>
    <x v="1"/>
    <s v="D51"/>
    <x v="0"/>
    <x v="4"/>
    <x v="0"/>
    <x v="1"/>
    <n v="1.0789"/>
    <n v="84.95"/>
  </r>
  <r>
    <x v="1"/>
    <s v="D51"/>
    <x v="0"/>
    <x v="4"/>
    <x v="0"/>
    <x v="2"/>
    <n v="1"/>
    <n v="78.739999999999995"/>
  </r>
  <r>
    <x v="1"/>
    <s v="D51"/>
    <x v="0"/>
    <x v="4"/>
    <x v="0"/>
    <x v="3"/>
    <n v="1"/>
    <n v="78.739999999999995"/>
  </r>
  <r>
    <x v="1"/>
    <s v="D51"/>
    <x v="0"/>
    <x v="4"/>
    <x v="0"/>
    <x v="4"/>
    <n v="1.0629"/>
    <n v="83.69"/>
  </r>
  <r>
    <x v="1"/>
    <s v="D51"/>
    <x v="0"/>
    <x v="4"/>
    <x v="0"/>
    <x v="5"/>
    <n v="1"/>
    <n v="78.739999999999995"/>
  </r>
  <r>
    <x v="1"/>
    <s v="D52"/>
    <x v="0"/>
    <x v="4"/>
    <x v="1"/>
    <x v="0"/>
    <n v="1"/>
    <n v="81.73"/>
  </r>
  <r>
    <x v="1"/>
    <s v="D52"/>
    <x v="0"/>
    <x v="4"/>
    <x v="1"/>
    <x v="1"/>
    <n v="1.0789"/>
    <n v="88.18"/>
  </r>
  <r>
    <x v="1"/>
    <s v="D52"/>
    <x v="0"/>
    <x v="4"/>
    <x v="1"/>
    <x v="2"/>
    <n v="1"/>
    <n v="81.73"/>
  </r>
  <r>
    <x v="1"/>
    <s v="D52"/>
    <x v="0"/>
    <x v="4"/>
    <x v="1"/>
    <x v="3"/>
    <n v="1"/>
    <n v="81.73"/>
  </r>
  <r>
    <x v="1"/>
    <s v="D52"/>
    <x v="0"/>
    <x v="4"/>
    <x v="1"/>
    <x v="4"/>
    <n v="1.0629"/>
    <n v="86.87"/>
  </r>
  <r>
    <x v="1"/>
    <s v="D52"/>
    <x v="0"/>
    <x v="4"/>
    <x v="1"/>
    <x v="5"/>
    <n v="1"/>
    <n v="81.73"/>
  </r>
  <r>
    <x v="1"/>
    <s v="D53"/>
    <x v="0"/>
    <x v="4"/>
    <x v="2"/>
    <x v="0"/>
    <n v="1"/>
    <n v="86.58"/>
  </r>
  <r>
    <x v="1"/>
    <s v="D53"/>
    <x v="0"/>
    <x v="4"/>
    <x v="2"/>
    <x v="1"/>
    <n v="1.0789"/>
    <n v="93.41"/>
  </r>
  <r>
    <x v="1"/>
    <s v="D53"/>
    <x v="0"/>
    <x v="4"/>
    <x v="2"/>
    <x v="2"/>
    <n v="1"/>
    <n v="86.58"/>
  </r>
  <r>
    <x v="1"/>
    <s v="D53"/>
    <x v="0"/>
    <x v="4"/>
    <x v="2"/>
    <x v="3"/>
    <n v="1"/>
    <n v="86.58"/>
  </r>
  <r>
    <x v="1"/>
    <s v="D53"/>
    <x v="0"/>
    <x v="4"/>
    <x v="2"/>
    <x v="4"/>
    <n v="1.0629"/>
    <n v="92.03"/>
  </r>
  <r>
    <x v="1"/>
    <s v="D53"/>
    <x v="0"/>
    <x v="4"/>
    <x v="2"/>
    <x v="5"/>
    <n v="1"/>
    <n v="86.58"/>
  </r>
  <r>
    <x v="1"/>
    <s v="D54"/>
    <x v="0"/>
    <x v="4"/>
    <x v="3"/>
    <x v="0"/>
    <n v="1"/>
    <n v="93.13"/>
  </r>
  <r>
    <x v="1"/>
    <s v="D54"/>
    <x v="0"/>
    <x v="4"/>
    <x v="3"/>
    <x v="1"/>
    <n v="1.0789"/>
    <n v="100.48"/>
  </r>
  <r>
    <x v="1"/>
    <s v="D54"/>
    <x v="0"/>
    <x v="4"/>
    <x v="3"/>
    <x v="2"/>
    <n v="1"/>
    <n v="93.13"/>
  </r>
  <r>
    <x v="1"/>
    <s v="D54"/>
    <x v="0"/>
    <x v="4"/>
    <x v="3"/>
    <x v="3"/>
    <n v="1"/>
    <n v="93.13"/>
  </r>
  <r>
    <x v="1"/>
    <s v="D54"/>
    <x v="0"/>
    <x v="4"/>
    <x v="3"/>
    <x v="4"/>
    <n v="1.0629"/>
    <n v="98.99"/>
  </r>
  <r>
    <x v="1"/>
    <s v="D54"/>
    <x v="0"/>
    <x v="4"/>
    <x v="3"/>
    <x v="5"/>
    <n v="1"/>
    <n v="93.13"/>
  </r>
  <r>
    <x v="1"/>
    <s v="D55"/>
    <x v="0"/>
    <x v="4"/>
    <x v="4"/>
    <x v="0"/>
    <n v="1"/>
    <n v="98.89"/>
  </r>
  <r>
    <x v="1"/>
    <s v="D55"/>
    <x v="0"/>
    <x v="4"/>
    <x v="4"/>
    <x v="1"/>
    <n v="1.0789"/>
    <n v="106.69"/>
  </r>
  <r>
    <x v="1"/>
    <s v="D55"/>
    <x v="0"/>
    <x v="4"/>
    <x v="4"/>
    <x v="2"/>
    <n v="1"/>
    <n v="98.89"/>
  </r>
  <r>
    <x v="1"/>
    <s v="D55"/>
    <x v="0"/>
    <x v="4"/>
    <x v="4"/>
    <x v="3"/>
    <n v="1"/>
    <n v="98.89"/>
  </r>
  <r>
    <x v="1"/>
    <s v="D55"/>
    <x v="0"/>
    <x v="4"/>
    <x v="4"/>
    <x v="4"/>
    <n v="1.0629"/>
    <n v="105.11"/>
  </r>
  <r>
    <x v="1"/>
    <s v="D55"/>
    <x v="0"/>
    <x v="4"/>
    <x v="4"/>
    <x v="5"/>
    <n v="1"/>
    <n v="98.89"/>
  </r>
  <r>
    <x v="1"/>
    <s v="R11"/>
    <x v="1"/>
    <x v="0"/>
    <x v="0"/>
    <x v="0"/>
    <n v="1"/>
    <n v="28.2"/>
  </r>
  <r>
    <x v="1"/>
    <s v="R11"/>
    <x v="1"/>
    <x v="0"/>
    <x v="0"/>
    <x v="1"/>
    <n v="1.0789"/>
    <n v="30.42"/>
  </r>
  <r>
    <x v="1"/>
    <s v="R11"/>
    <x v="1"/>
    <x v="0"/>
    <x v="0"/>
    <x v="2"/>
    <n v="1"/>
    <n v="28.2"/>
  </r>
  <r>
    <x v="1"/>
    <s v="R11"/>
    <x v="1"/>
    <x v="0"/>
    <x v="0"/>
    <x v="3"/>
    <n v="1"/>
    <n v="28.2"/>
  </r>
  <r>
    <x v="1"/>
    <s v="R11"/>
    <x v="1"/>
    <x v="0"/>
    <x v="0"/>
    <x v="4"/>
    <n v="1.0629"/>
    <n v="29.97"/>
  </r>
  <r>
    <x v="1"/>
    <s v="R11"/>
    <x v="1"/>
    <x v="0"/>
    <x v="0"/>
    <x v="5"/>
    <n v="1"/>
    <n v="28.2"/>
  </r>
  <r>
    <x v="1"/>
    <s v="R12"/>
    <x v="1"/>
    <x v="0"/>
    <x v="1"/>
    <x v="0"/>
    <n v="1"/>
    <n v="30.84"/>
  </r>
  <r>
    <x v="1"/>
    <s v="R12"/>
    <x v="1"/>
    <x v="0"/>
    <x v="1"/>
    <x v="1"/>
    <n v="1.0789"/>
    <n v="33.270000000000003"/>
  </r>
  <r>
    <x v="1"/>
    <s v="R12"/>
    <x v="1"/>
    <x v="0"/>
    <x v="1"/>
    <x v="2"/>
    <n v="1"/>
    <n v="30.84"/>
  </r>
  <r>
    <x v="1"/>
    <s v="R12"/>
    <x v="1"/>
    <x v="0"/>
    <x v="1"/>
    <x v="3"/>
    <n v="1"/>
    <n v="30.84"/>
  </r>
  <r>
    <x v="1"/>
    <s v="R12"/>
    <x v="1"/>
    <x v="0"/>
    <x v="1"/>
    <x v="4"/>
    <n v="1.0629"/>
    <n v="32.78"/>
  </r>
  <r>
    <x v="1"/>
    <s v="R12"/>
    <x v="1"/>
    <x v="0"/>
    <x v="1"/>
    <x v="5"/>
    <n v="1"/>
    <n v="30.84"/>
  </r>
  <r>
    <x v="1"/>
    <s v="R13"/>
    <x v="1"/>
    <x v="0"/>
    <x v="2"/>
    <x v="0"/>
    <n v="1"/>
    <n v="35.11"/>
  </r>
  <r>
    <x v="1"/>
    <s v="R13"/>
    <x v="1"/>
    <x v="0"/>
    <x v="2"/>
    <x v="1"/>
    <n v="1.0789"/>
    <n v="37.880000000000003"/>
  </r>
  <r>
    <x v="1"/>
    <s v="R13"/>
    <x v="1"/>
    <x v="0"/>
    <x v="2"/>
    <x v="2"/>
    <n v="1"/>
    <n v="35.11"/>
  </r>
  <r>
    <x v="1"/>
    <s v="R13"/>
    <x v="1"/>
    <x v="0"/>
    <x v="2"/>
    <x v="3"/>
    <n v="1"/>
    <n v="35.11"/>
  </r>
  <r>
    <x v="1"/>
    <s v="R13"/>
    <x v="1"/>
    <x v="0"/>
    <x v="2"/>
    <x v="4"/>
    <n v="1.0629"/>
    <n v="37.32"/>
  </r>
  <r>
    <x v="1"/>
    <s v="R13"/>
    <x v="1"/>
    <x v="0"/>
    <x v="2"/>
    <x v="5"/>
    <n v="1"/>
    <n v="35.11"/>
  </r>
  <r>
    <x v="1"/>
    <s v="R14"/>
    <x v="1"/>
    <x v="0"/>
    <x v="3"/>
    <x v="0"/>
    <n v="1"/>
    <n v="40.869999999999997"/>
  </r>
  <r>
    <x v="1"/>
    <s v="R14"/>
    <x v="1"/>
    <x v="0"/>
    <x v="3"/>
    <x v="1"/>
    <n v="1.0789"/>
    <n v="44.09"/>
  </r>
  <r>
    <x v="1"/>
    <s v="R14"/>
    <x v="1"/>
    <x v="0"/>
    <x v="3"/>
    <x v="2"/>
    <n v="1"/>
    <n v="40.869999999999997"/>
  </r>
  <r>
    <x v="1"/>
    <s v="R14"/>
    <x v="1"/>
    <x v="0"/>
    <x v="3"/>
    <x v="3"/>
    <n v="1"/>
    <n v="40.869999999999997"/>
  </r>
  <r>
    <x v="1"/>
    <s v="R14"/>
    <x v="1"/>
    <x v="0"/>
    <x v="3"/>
    <x v="4"/>
    <n v="1.0629"/>
    <n v="43.44"/>
  </r>
  <r>
    <x v="1"/>
    <s v="R14"/>
    <x v="1"/>
    <x v="0"/>
    <x v="3"/>
    <x v="5"/>
    <n v="1"/>
    <n v="40.869999999999997"/>
  </r>
  <r>
    <x v="1"/>
    <s v="R15"/>
    <x v="1"/>
    <x v="0"/>
    <x v="4"/>
    <x v="0"/>
    <n v="1"/>
    <n v="45.91"/>
  </r>
  <r>
    <x v="1"/>
    <s v="R15"/>
    <x v="1"/>
    <x v="0"/>
    <x v="4"/>
    <x v="1"/>
    <n v="1.0789"/>
    <n v="49.53"/>
  </r>
  <r>
    <x v="1"/>
    <s v="R15"/>
    <x v="1"/>
    <x v="0"/>
    <x v="4"/>
    <x v="2"/>
    <n v="1"/>
    <n v="45.91"/>
  </r>
  <r>
    <x v="1"/>
    <s v="R15"/>
    <x v="1"/>
    <x v="0"/>
    <x v="4"/>
    <x v="3"/>
    <n v="1"/>
    <n v="45.91"/>
  </r>
  <r>
    <x v="1"/>
    <s v="R15"/>
    <x v="1"/>
    <x v="0"/>
    <x v="4"/>
    <x v="4"/>
    <n v="1.0629"/>
    <n v="48.8"/>
  </r>
  <r>
    <x v="1"/>
    <s v="R15"/>
    <x v="1"/>
    <x v="0"/>
    <x v="4"/>
    <x v="5"/>
    <n v="1"/>
    <n v="45.91"/>
  </r>
  <r>
    <x v="1"/>
    <s v="R21"/>
    <x v="1"/>
    <x v="1"/>
    <x v="0"/>
    <x v="0"/>
    <n v="1"/>
    <n v="50.48"/>
  </r>
  <r>
    <x v="1"/>
    <s v="R21"/>
    <x v="1"/>
    <x v="1"/>
    <x v="0"/>
    <x v="1"/>
    <n v="1.0789"/>
    <n v="54.46"/>
  </r>
  <r>
    <x v="1"/>
    <s v="R21"/>
    <x v="1"/>
    <x v="1"/>
    <x v="0"/>
    <x v="2"/>
    <n v="1"/>
    <n v="50.48"/>
  </r>
  <r>
    <x v="1"/>
    <s v="R21"/>
    <x v="1"/>
    <x v="1"/>
    <x v="0"/>
    <x v="3"/>
    <n v="1"/>
    <n v="50.48"/>
  </r>
  <r>
    <x v="1"/>
    <s v="R21"/>
    <x v="1"/>
    <x v="1"/>
    <x v="0"/>
    <x v="4"/>
    <n v="1.0629"/>
    <n v="53.66"/>
  </r>
  <r>
    <x v="1"/>
    <s v="R21"/>
    <x v="1"/>
    <x v="1"/>
    <x v="0"/>
    <x v="5"/>
    <n v="1"/>
    <n v="50.48"/>
  </r>
  <r>
    <x v="1"/>
    <s v="R22"/>
    <x v="1"/>
    <x v="1"/>
    <x v="1"/>
    <x v="0"/>
    <n v="1"/>
    <n v="53.12"/>
  </r>
  <r>
    <x v="1"/>
    <s v="R22"/>
    <x v="1"/>
    <x v="1"/>
    <x v="1"/>
    <x v="1"/>
    <n v="1.0789"/>
    <n v="57.31"/>
  </r>
  <r>
    <x v="1"/>
    <s v="R22"/>
    <x v="1"/>
    <x v="1"/>
    <x v="1"/>
    <x v="2"/>
    <n v="1"/>
    <n v="53.12"/>
  </r>
  <r>
    <x v="1"/>
    <s v="R22"/>
    <x v="1"/>
    <x v="1"/>
    <x v="1"/>
    <x v="3"/>
    <n v="1"/>
    <n v="53.12"/>
  </r>
  <r>
    <x v="1"/>
    <s v="R22"/>
    <x v="1"/>
    <x v="1"/>
    <x v="1"/>
    <x v="4"/>
    <n v="1.0629"/>
    <n v="56.46"/>
  </r>
  <r>
    <x v="1"/>
    <s v="R22"/>
    <x v="1"/>
    <x v="1"/>
    <x v="1"/>
    <x v="5"/>
    <n v="1"/>
    <n v="53.12"/>
  </r>
  <r>
    <x v="1"/>
    <s v="R23"/>
    <x v="1"/>
    <x v="1"/>
    <x v="2"/>
    <x v="0"/>
    <n v="1"/>
    <n v="57.38"/>
  </r>
  <r>
    <x v="1"/>
    <s v="R23"/>
    <x v="1"/>
    <x v="1"/>
    <x v="2"/>
    <x v="1"/>
    <n v="1.0789"/>
    <n v="61.91"/>
  </r>
  <r>
    <x v="1"/>
    <s v="R23"/>
    <x v="1"/>
    <x v="1"/>
    <x v="2"/>
    <x v="2"/>
    <n v="1"/>
    <n v="57.38"/>
  </r>
  <r>
    <x v="1"/>
    <s v="R23"/>
    <x v="1"/>
    <x v="1"/>
    <x v="2"/>
    <x v="3"/>
    <n v="1"/>
    <n v="57.38"/>
  </r>
  <r>
    <x v="1"/>
    <s v="R23"/>
    <x v="1"/>
    <x v="1"/>
    <x v="2"/>
    <x v="4"/>
    <n v="1.0629"/>
    <n v="60.99"/>
  </r>
  <r>
    <x v="1"/>
    <s v="R23"/>
    <x v="1"/>
    <x v="1"/>
    <x v="2"/>
    <x v="5"/>
    <n v="1"/>
    <n v="57.38"/>
  </r>
  <r>
    <x v="1"/>
    <s v="R24"/>
    <x v="1"/>
    <x v="1"/>
    <x v="3"/>
    <x v="0"/>
    <n v="1"/>
    <n v="63.15"/>
  </r>
  <r>
    <x v="1"/>
    <s v="R24"/>
    <x v="1"/>
    <x v="1"/>
    <x v="3"/>
    <x v="1"/>
    <n v="1.0789"/>
    <n v="68.13"/>
  </r>
  <r>
    <x v="1"/>
    <s v="R24"/>
    <x v="1"/>
    <x v="1"/>
    <x v="3"/>
    <x v="2"/>
    <n v="1"/>
    <n v="63.15"/>
  </r>
  <r>
    <x v="1"/>
    <s v="R24"/>
    <x v="1"/>
    <x v="1"/>
    <x v="3"/>
    <x v="3"/>
    <n v="1"/>
    <n v="63.15"/>
  </r>
  <r>
    <x v="1"/>
    <s v="R24"/>
    <x v="1"/>
    <x v="1"/>
    <x v="3"/>
    <x v="4"/>
    <n v="1.0629"/>
    <n v="67.12"/>
  </r>
  <r>
    <x v="1"/>
    <s v="R24"/>
    <x v="1"/>
    <x v="1"/>
    <x v="3"/>
    <x v="5"/>
    <n v="1"/>
    <n v="63.15"/>
  </r>
  <r>
    <x v="1"/>
    <s v="R25"/>
    <x v="1"/>
    <x v="1"/>
    <x v="4"/>
    <x v="0"/>
    <n v="1"/>
    <n v="68.2"/>
  </r>
  <r>
    <x v="1"/>
    <s v="R25"/>
    <x v="1"/>
    <x v="1"/>
    <x v="4"/>
    <x v="1"/>
    <n v="1.0789"/>
    <n v="73.58"/>
  </r>
  <r>
    <x v="1"/>
    <s v="R25"/>
    <x v="1"/>
    <x v="1"/>
    <x v="4"/>
    <x v="2"/>
    <n v="1"/>
    <n v="68.2"/>
  </r>
  <r>
    <x v="1"/>
    <s v="R25"/>
    <x v="1"/>
    <x v="1"/>
    <x v="4"/>
    <x v="3"/>
    <n v="1"/>
    <n v="68.2"/>
  </r>
  <r>
    <x v="1"/>
    <s v="R25"/>
    <x v="1"/>
    <x v="1"/>
    <x v="4"/>
    <x v="4"/>
    <n v="1.0629"/>
    <n v="72.489999999999995"/>
  </r>
  <r>
    <x v="1"/>
    <s v="R25"/>
    <x v="1"/>
    <x v="1"/>
    <x v="4"/>
    <x v="5"/>
    <n v="1"/>
    <n v="68.2"/>
  </r>
  <r>
    <x v="1"/>
    <s v="R31"/>
    <x v="1"/>
    <x v="2"/>
    <x v="0"/>
    <x v="0"/>
    <n v="1"/>
    <n v="86.05"/>
  </r>
  <r>
    <x v="1"/>
    <s v="R31"/>
    <x v="1"/>
    <x v="2"/>
    <x v="0"/>
    <x v="1"/>
    <n v="1.0789"/>
    <n v="92.84"/>
  </r>
  <r>
    <x v="1"/>
    <s v="R31"/>
    <x v="1"/>
    <x v="2"/>
    <x v="0"/>
    <x v="2"/>
    <n v="1"/>
    <n v="86.05"/>
  </r>
  <r>
    <x v="1"/>
    <s v="R31"/>
    <x v="1"/>
    <x v="2"/>
    <x v="0"/>
    <x v="3"/>
    <n v="1"/>
    <n v="86.05"/>
  </r>
  <r>
    <x v="1"/>
    <s v="R31"/>
    <x v="1"/>
    <x v="2"/>
    <x v="0"/>
    <x v="4"/>
    <n v="1.0629"/>
    <n v="91.46"/>
  </r>
  <r>
    <x v="1"/>
    <s v="R31"/>
    <x v="1"/>
    <x v="2"/>
    <x v="0"/>
    <x v="5"/>
    <n v="1"/>
    <n v="86.05"/>
  </r>
  <r>
    <x v="1"/>
    <s v="R32"/>
    <x v="1"/>
    <x v="2"/>
    <x v="1"/>
    <x v="0"/>
    <n v="1"/>
    <n v="88.72"/>
  </r>
  <r>
    <x v="1"/>
    <s v="R32"/>
    <x v="1"/>
    <x v="2"/>
    <x v="1"/>
    <x v="1"/>
    <n v="1.0789"/>
    <n v="95.72"/>
  </r>
  <r>
    <x v="1"/>
    <s v="R32"/>
    <x v="1"/>
    <x v="2"/>
    <x v="1"/>
    <x v="2"/>
    <n v="1"/>
    <n v="88.72"/>
  </r>
  <r>
    <x v="1"/>
    <s v="R32"/>
    <x v="1"/>
    <x v="2"/>
    <x v="1"/>
    <x v="3"/>
    <n v="1"/>
    <n v="88.72"/>
  </r>
  <r>
    <x v="1"/>
    <s v="R32"/>
    <x v="1"/>
    <x v="2"/>
    <x v="1"/>
    <x v="4"/>
    <n v="1.0629"/>
    <n v="94.3"/>
  </r>
  <r>
    <x v="1"/>
    <s v="R32"/>
    <x v="1"/>
    <x v="2"/>
    <x v="1"/>
    <x v="5"/>
    <n v="1"/>
    <n v="88.72"/>
  </r>
  <r>
    <x v="1"/>
    <s v="R33"/>
    <x v="1"/>
    <x v="2"/>
    <x v="2"/>
    <x v="0"/>
    <n v="1"/>
    <n v="92.93"/>
  </r>
  <r>
    <x v="1"/>
    <s v="R33"/>
    <x v="1"/>
    <x v="2"/>
    <x v="2"/>
    <x v="1"/>
    <n v="1.0789"/>
    <n v="100.26"/>
  </r>
  <r>
    <x v="1"/>
    <s v="R33"/>
    <x v="1"/>
    <x v="2"/>
    <x v="2"/>
    <x v="2"/>
    <n v="1"/>
    <n v="92.93"/>
  </r>
  <r>
    <x v="1"/>
    <s v="R33"/>
    <x v="1"/>
    <x v="2"/>
    <x v="2"/>
    <x v="3"/>
    <n v="1"/>
    <n v="92.93"/>
  </r>
  <r>
    <x v="1"/>
    <s v="R33"/>
    <x v="1"/>
    <x v="2"/>
    <x v="2"/>
    <x v="4"/>
    <n v="1.0629"/>
    <n v="98.78"/>
  </r>
  <r>
    <x v="1"/>
    <s v="R33"/>
    <x v="1"/>
    <x v="2"/>
    <x v="2"/>
    <x v="5"/>
    <n v="1"/>
    <n v="92.93"/>
  </r>
  <r>
    <x v="1"/>
    <s v="R34"/>
    <x v="1"/>
    <x v="2"/>
    <x v="3"/>
    <x v="0"/>
    <n v="1"/>
    <n v="98.69"/>
  </r>
  <r>
    <x v="1"/>
    <s v="R34"/>
    <x v="1"/>
    <x v="2"/>
    <x v="3"/>
    <x v="1"/>
    <n v="1.0789"/>
    <n v="106.48"/>
  </r>
  <r>
    <x v="1"/>
    <s v="R34"/>
    <x v="1"/>
    <x v="2"/>
    <x v="3"/>
    <x v="2"/>
    <n v="1"/>
    <n v="98.69"/>
  </r>
  <r>
    <x v="1"/>
    <s v="R34"/>
    <x v="1"/>
    <x v="2"/>
    <x v="3"/>
    <x v="3"/>
    <n v="1"/>
    <n v="98.69"/>
  </r>
  <r>
    <x v="1"/>
    <s v="R34"/>
    <x v="1"/>
    <x v="2"/>
    <x v="3"/>
    <x v="4"/>
    <n v="1.0629"/>
    <n v="104.9"/>
  </r>
  <r>
    <x v="1"/>
    <s v="R34"/>
    <x v="1"/>
    <x v="2"/>
    <x v="3"/>
    <x v="5"/>
    <n v="1"/>
    <n v="98.69"/>
  </r>
  <r>
    <x v="1"/>
    <s v="R35"/>
    <x v="1"/>
    <x v="2"/>
    <x v="4"/>
    <x v="0"/>
    <n v="1"/>
    <n v="103.79"/>
  </r>
  <r>
    <x v="1"/>
    <s v="R35"/>
    <x v="1"/>
    <x v="2"/>
    <x v="4"/>
    <x v="1"/>
    <n v="1.0789"/>
    <n v="111.98"/>
  </r>
  <r>
    <x v="1"/>
    <s v="R35"/>
    <x v="1"/>
    <x v="2"/>
    <x v="4"/>
    <x v="2"/>
    <n v="1"/>
    <n v="103.79"/>
  </r>
  <r>
    <x v="1"/>
    <s v="R35"/>
    <x v="1"/>
    <x v="2"/>
    <x v="4"/>
    <x v="3"/>
    <n v="1"/>
    <n v="103.79"/>
  </r>
  <r>
    <x v="1"/>
    <s v="R35"/>
    <x v="1"/>
    <x v="2"/>
    <x v="4"/>
    <x v="4"/>
    <n v="1.0629"/>
    <n v="110.32"/>
  </r>
  <r>
    <x v="1"/>
    <s v="R35"/>
    <x v="1"/>
    <x v="2"/>
    <x v="4"/>
    <x v="5"/>
    <n v="1"/>
    <n v="103.79"/>
  </r>
  <r>
    <x v="1"/>
    <s v="R41"/>
    <x v="1"/>
    <x v="3"/>
    <x v="0"/>
    <x v="0"/>
    <n v="1"/>
    <n v="139.38999999999999"/>
  </r>
  <r>
    <x v="1"/>
    <s v="R41"/>
    <x v="1"/>
    <x v="3"/>
    <x v="0"/>
    <x v="1"/>
    <n v="1.0789"/>
    <n v="150.38999999999999"/>
  </r>
  <r>
    <x v="1"/>
    <s v="R41"/>
    <x v="1"/>
    <x v="3"/>
    <x v="0"/>
    <x v="2"/>
    <n v="1"/>
    <n v="139.38999999999999"/>
  </r>
  <r>
    <x v="1"/>
    <s v="R41"/>
    <x v="1"/>
    <x v="3"/>
    <x v="0"/>
    <x v="3"/>
    <n v="1"/>
    <n v="139.38999999999999"/>
  </r>
  <r>
    <x v="1"/>
    <s v="R41"/>
    <x v="1"/>
    <x v="3"/>
    <x v="0"/>
    <x v="4"/>
    <n v="1.0629"/>
    <n v="148.16"/>
  </r>
  <r>
    <x v="1"/>
    <s v="R41"/>
    <x v="1"/>
    <x v="3"/>
    <x v="0"/>
    <x v="5"/>
    <n v="1"/>
    <n v="139.38999999999999"/>
  </r>
  <r>
    <x v="1"/>
    <s v="R42"/>
    <x v="1"/>
    <x v="3"/>
    <x v="1"/>
    <x v="0"/>
    <n v="1"/>
    <n v="142.04"/>
  </r>
  <r>
    <x v="1"/>
    <s v="R42"/>
    <x v="1"/>
    <x v="3"/>
    <x v="1"/>
    <x v="1"/>
    <n v="1.0789"/>
    <n v="153.25"/>
  </r>
  <r>
    <x v="1"/>
    <s v="R42"/>
    <x v="1"/>
    <x v="3"/>
    <x v="1"/>
    <x v="2"/>
    <n v="1"/>
    <n v="142.04"/>
  </r>
  <r>
    <x v="1"/>
    <s v="R42"/>
    <x v="1"/>
    <x v="3"/>
    <x v="1"/>
    <x v="3"/>
    <n v="1"/>
    <n v="142.04"/>
  </r>
  <r>
    <x v="1"/>
    <s v="R42"/>
    <x v="1"/>
    <x v="3"/>
    <x v="1"/>
    <x v="4"/>
    <n v="1.0629"/>
    <n v="150.97"/>
  </r>
  <r>
    <x v="1"/>
    <s v="R42"/>
    <x v="1"/>
    <x v="3"/>
    <x v="1"/>
    <x v="5"/>
    <n v="1"/>
    <n v="142.04"/>
  </r>
  <r>
    <x v="1"/>
    <s v="R43"/>
    <x v="1"/>
    <x v="3"/>
    <x v="2"/>
    <x v="0"/>
    <n v="1"/>
    <n v="146.31"/>
  </r>
  <r>
    <x v="1"/>
    <s v="R43"/>
    <x v="1"/>
    <x v="3"/>
    <x v="2"/>
    <x v="1"/>
    <n v="1.0789"/>
    <n v="157.85"/>
  </r>
  <r>
    <x v="1"/>
    <s v="R43"/>
    <x v="1"/>
    <x v="3"/>
    <x v="2"/>
    <x v="2"/>
    <n v="1"/>
    <n v="146.31"/>
  </r>
  <r>
    <x v="1"/>
    <s v="R43"/>
    <x v="1"/>
    <x v="3"/>
    <x v="2"/>
    <x v="3"/>
    <n v="1"/>
    <n v="146.31"/>
  </r>
  <r>
    <x v="1"/>
    <s v="R43"/>
    <x v="1"/>
    <x v="3"/>
    <x v="2"/>
    <x v="4"/>
    <n v="1.0629"/>
    <n v="155.51"/>
  </r>
  <r>
    <x v="1"/>
    <s v="R43"/>
    <x v="1"/>
    <x v="3"/>
    <x v="2"/>
    <x v="5"/>
    <n v="1"/>
    <n v="146.31"/>
  </r>
  <r>
    <x v="1"/>
    <s v="R44"/>
    <x v="1"/>
    <x v="3"/>
    <x v="3"/>
    <x v="0"/>
    <n v="1"/>
    <n v="152.07"/>
  </r>
  <r>
    <x v="1"/>
    <s v="R44"/>
    <x v="1"/>
    <x v="3"/>
    <x v="3"/>
    <x v="1"/>
    <n v="1.0789"/>
    <n v="164.07"/>
  </r>
  <r>
    <x v="1"/>
    <s v="R44"/>
    <x v="1"/>
    <x v="3"/>
    <x v="3"/>
    <x v="2"/>
    <n v="1"/>
    <n v="152.07"/>
  </r>
  <r>
    <x v="1"/>
    <s v="R44"/>
    <x v="1"/>
    <x v="3"/>
    <x v="3"/>
    <x v="3"/>
    <n v="1"/>
    <n v="152.07"/>
  </r>
  <r>
    <x v="1"/>
    <s v="R44"/>
    <x v="1"/>
    <x v="3"/>
    <x v="3"/>
    <x v="4"/>
    <n v="1.0629"/>
    <n v="161.63999999999999"/>
  </r>
  <r>
    <x v="1"/>
    <s v="R44"/>
    <x v="1"/>
    <x v="3"/>
    <x v="3"/>
    <x v="5"/>
    <n v="1"/>
    <n v="152.07"/>
  </r>
  <r>
    <x v="1"/>
    <s v="R45"/>
    <x v="1"/>
    <x v="3"/>
    <x v="4"/>
    <x v="0"/>
    <n v="1"/>
    <n v="157.12"/>
  </r>
  <r>
    <x v="1"/>
    <s v="R45"/>
    <x v="1"/>
    <x v="3"/>
    <x v="4"/>
    <x v="1"/>
    <n v="1.0789"/>
    <n v="169.52"/>
  </r>
  <r>
    <x v="1"/>
    <s v="R45"/>
    <x v="1"/>
    <x v="3"/>
    <x v="4"/>
    <x v="2"/>
    <n v="1"/>
    <n v="157.12"/>
  </r>
  <r>
    <x v="1"/>
    <s v="R45"/>
    <x v="1"/>
    <x v="3"/>
    <x v="4"/>
    <x v="3"/>
    <n v="1"/>
    <n v="157.12"/>
  </r>
  <r>
    <x v="1"/>
    <s v="R45"/>
    <x v="1"/>
    <x v="3"/>
    <x v="4"/>
    <x v="4"/>
    <n v="1.0629"/>
    <n v="167"/>
  </r>
  <r>
    <x v="1"/>
    <s v="R45"/>
    <x v="1"/>
    <x v="3"/>
    <x v="4"/>
    <x v="5"/>
    <n v="1"/>
    <n v="157.12"/>
  </r>
  <r>
    <x v="1"/>
    <s v="R51"/>
    <x v="1"/>
    <x v="4"/>
    <x v="0"/>
    <x v="0"/>
    <n v="1"/>
    <n v="199.89"/>
  </r>
  <r>
    <x v="1"/>
    <s v="R51"/>
    <x v="1"/>
    <x v="4"/>
    <x v="0"/>
    <x v="1"/>
    <n v="1.0789"/>
    <n v="215.66"/>
  </r>
  <r>
    <x v="1"/>
    <s v="R51"/>
    <x v="1"/>
    <x v="4"/>
    <x v="0"/>
    <x v="2"/>
    <n v="1"/>
    <n v="199.89"/>
  </r>
  <r>
    <x v="1"/>
    <s v="R51"/>
    <x v="1"/>
    <x v="4"/>
    <x v="0"/>
    <x v="3"/>
    <n v="1"/>
    <n v="199.89"/>
  </r>
  <r>
    <x v="1"/>
    <s v="R51"/>
    <x v="1"/>
    <x v="4"/>
    <x v="0"/>
    <x v="4"/>
    <n v="1.0629"/>
    <n v="212.46"/>
  </r>
  <r>
    <x v="1"/>
    <s v="R51"/>
    <x v="1"/>
    <x v="4"/>
    <x v="0"/>
    <x v="5"/>
    <n v="1"/>
    <n v="199.89"/>
  </r>
  <r>
    <x v="1"/>
    <s v="R52"/>
    <x v="1"/>
    <x v="4"/>
    <x v="1"/>
    <x v="0"/>
    <n v="1"/>
    <n v="202.5"/>
  </r>
  <r>
    <x v="1"/>
    <s v="R52"/>
    <x v="1"/>
    <x v="4"/>
    <x v="1"/>
    <x v="1"/>
    <n v="1.0789"/>
    <n v="218.48"/>
  </r>
  <r>
    <x v="1"/>
    <s v="R52"/>
    <x v="1"/>
    <x v="4"/>
    <x v="1"/>
    <x v="2"/>
    <n v="1"/>
    <n v="202.5"/>
  </r>
  <r>
    <x v="1"/>
    <s v="R52"/>
    <x v="1"/>
    <x v="4"/>
    <x v="1"/>
    <x v="3"/>
    <n v="1"/>
    <n v="202.5"/>
  </r>
  <r>
    <x v="1"/>
    <s v="R52"/>
    <x v="1"/>
    <x v="4"/>
    <x v="1"/>
    <x v="4"/>
    <n v="1.0629"/>
    <n v="215.24"/>
  </r>
  <r>
    <x v="1"/>
    <s v="R52"/>
    <x v="1"/>
    <x v="4"/>
    <x v="1"/>
    <x v="5"/>
    <n v="1"/>
    <n v="202.5"/>
  </r>
  <r>
    <x v="1"/>
    <s v="R53"/>
    <x v="1"/>
    <x v="4"/>
    <x v="2"/>
    <x v="0"/>
    <n v="1"/>
    <n v="206.76"/>
  </r>
  <r>
    <x v="1"/>
    <s v="R53"/>
    <x v="1"/>
    <x v="4"/>
    <x v="2"/>
    <x v="1"/>
    <n v="1.0789"/>
    <n v="223.07"/>
  </r>
  <r>
    <x v="1"/>
    <s v="R53"/>
    <x v="1"/>
    <x v="4"/>
    <x v="2"/>
    <x v="2"/>
    <n v="1"/>
    <n v="206.76"/>
  </r>
  <r>
    <x v="1"/>
    <s v="R53"/>
    <x v="1"/>
    <x v="4"/>
    <x v="2"/>
    <x v="3"/>
    <n v="1"/>
    <n v="206.76"/>
  </r>
  <r>
    <x v="1"/>
    <s v="R53"/>
    <x v="1"/>
    <x v="4"/>
    <x v="2"/>
    <x v="4"/>
    <n v="1.0629"/>
    <n v="219.77"/>
  </r>
  <r>
    <x v="1"/>
    <s v="R53"/>
    <x v="1"/>
    <x v="4"/>
    <x v="2"/>
    <x v="5"/>
    <n v="1"/>
    <n v="206.76"/>
  </r>
  <r>
    <x v="1"/>
    <s v="R54"/>
    <x v="1"/>
    <x v="4"/>
    <x v="3"/>
    <x v="0"/>
    <n v="1"/>
    <n v="212.51"/>
  </r>
  <r>
    <x v="1"/>
    <s v="R54"/>
    <x v="1"/>
    <x v="4"/>
    <x v="3"/>
    <x v="1"/>
    <n v="1.0789"/>
    <n v="229.28"/>
  </r>
  <r>
    <x v="1"/>
    <s v="R54"/>
    <x v="1"/>
    <x v="4"/>
    <x v="3"/>
    <x v="2"/>
    <n v="1"/>
    <n v="212.51"/>
  </r>
  <r>
    <x v="1"/>
    <s v="R54"/>
    <x v="1"/>
    <x v="4"/>
    <x v="3"/>
    <x v="3"/>
    <n v="1"/>
    <n v="212.51"/>
  </r>
  <r>
    <x v="1"/>
    <s v="R54"/>
    <x v="1"/>
    <x v="4"/>
    <x v="3"/>
    <x v="4"/>
    <n v="1.0629"/>
    <n v="225.88"/>
  </r>
  <r>
    <x v="1"/>
    <s v="R54"/>
    <x v="1"/>
    <x v="4"/>
    <x v="3"/>
    <x v="5"/>
    <n v="1"/>
    <n v="212.51"/>
  </r>
  <r>
    <x v="1"/>
    <s v="R55"/>
    <x v="1"/>
    <x v="4"/>
    <x v="4"/>
    <x v="0"/>
    <n v="1"/>
    <n v="217.58"/>
  </r>
  <r>
    <x v="1"/>
    <s v="R55"/>
    <x v="1"/>
    <x v="4"/>
    <x v="4"/>
    <x v="1"/>
    <n v="1.0789"/>
    <n v="234.75"/>
  </r>
  <r>
    <x v="1"/>
    <s v="R55"/>
    <x v="1"/>
    <x v="4"/>
    <x v="4"/>
    <x v="2"/>
    <n v="1"/>
    <n v="217.58"/>
  </r>
  <r>
    <x v="1"/>
    <s v="R55"/>
    <x v="1"/>
    <x v="4"/>
    <x v="4"/>
    <x v="3"/>
    <n v="1"/>
    <n v="217.58"/>
  </r>
  <r>
    <x v="1"/>
    <s v="R55"/>
    <x v="1"/>
    <x v="4"/>
    <x v="4"/>
    <x v="4"/>
    <n v="1.0629"/>
    <n v="231.27"/>
  </r>
  <r>
    <x v="1"/>
    <s v="R55"/>
    <x v="1"/>
    <x v="4"/>
    <x v="4"/>
    <x v="5"/>
    <n v="1"/>
    <n v="217.58"/>
  </r>
  <r>
    <x v="1"/>
    <s v="S11"/>
    <x v="2"/>
    <x v="0"/>
    <x v="0"/>
    <x v="0"/>
    <n v="1"/>
    <n v="28.8"/>
  </r>
  <r>
    <x v="1"/>
    <s v="S11"/>
    <x v="2"/>
    <x v="0"/>
    <x v="0"/>
    <x v="1"/>
    <n v="1.0789"/>
    <n v="31.07"/>
  </r>
  <r>
    <x v="1"/>
    <s v="S11"/>
    <x v="2"/>
    <x v="0"/>
    <x v="0"/>
    <x v="2"/>
    <n v="1"/>
    <n v="28.8"/>
  </r>
  <r>
    <x v="1"/>
    <s v="S11"/>
    <x v="2"/>
    <x v="0"/>
    <x v="0"/>
    <x v="3"/>
    <n v="1"/>
    <n v="28.8"/>
  </r>
  <r>
    <x v="1"/>
    <s v="S11"/>
    <x v="2"/>
    <x v="0"/>
    <x v="0"/>
    <x v="4"/>
    <n v="1.0629"/>
    <n v="30.61"/>
  </r>
  <r>
    <x v="1"/>
    <s v="S11"/>
    <x v="2"/>
    <x v="0"/>
    <x v="0"/>
    <x v="5"/>
    <n v="1"/>
    <n v="28.8"/>
  </r>
  <r>
    <x v="1"/>
    <s v="S12"/>
    <x v="2"/>
    <x v="0"/>
    <x v="1"/>
    <x v="0"/>
    <n v="1"/>
    <n v="31.78"/>
  </r>
  <r>
    <x v="1"/>
    <s v="S12"/>
    <x v="2"/>
    <x v="0"/>
    <x v="1"/>
    <x v="1"/>
    <n v="1.0789"/>
    <n v="34.29"/>
  </r>
  <r>
    <x v="1"/>
    <s v="S12"/>
    <x v="2"/>
    <x v="0"/>
    <x v="1"/>
    <x v="2"/>
    <n v="1"/>
    <n v="31.78"/>
  </r>
  <r>
    <x v="1"/>
    <s v="S12"/>
    <x v="2"/>
    <x v="0"/>
    <x v="1"/>
    <x v="3"/>
    <n v="1"/>
    <n v="31.78"/>
  </r>
  <r>
    <x v="1"/>
    <s v="S12"/>
    <x v="2"/>
    <x v="0"/>
    <x v="1"/>
    <x v="4"/>
    <n v="1.0629"/>
    <n v="33.78"/>
  </r>
  <r>
    <x v="1"/>
    <s v="S12"/>
    <x v="2"/>
    <x v="0"/>
    <x v="1"/>
    <x v="5"/>
    <n v="1"/>
    <n v="31.78"/>
  </r>
  <r>
    <x v="1"/>
    <s v="S13"/>
    <x v="2"/>
    <x v="0"/>
    <x v="2"/>
    <x v="0"/>
    <n v="1"/>
    <n v="36.64"/>
  </r>
  <r>
    <x v="1"/>
    <s v="S13"/>
    <x v="2"/>
    <x v="0"/>
    <x v="2"/>
    <x v="1"/>
    <n v="1.0789"/>
    <n v="39.53"/>
  </r>
  <r>
    <x v="1"/>
    <s v="S13"/>
    <x v="2"/>
    <x v="0"/>
    <x v="2"/>
    <x v="2"/>
    <n v="1"/>
    <n v="36.64"/>
  </r>
  <r>
    <x v="1"/>
    <s v="S13"/>
    <x v="2"/>
    <x v="0"/>
    <x v="2"/>
    <x v="3"/>
    <n v="1"/>
    <n v="36.64"/>
  </r>
  <r>
    <x v="1"/>
    <s v="S13"/>
    <x v="2"/>
    <x v="0"/>
    <x v="2"/>
    <x v="4"/>
    <n v="1.0629"/>
    <n v="38.94"/>
  </r>
  <r>
    <x v="1"/>
    <s v="S13"/>
    <x v="2"/>
    <x v="0"/>
    <x v="2"/>
    <x v="5"/>
    <n v="1"/>
    <n v="36.64"/>
  </r>
  <r>
    <x v="1"/>
    <s v="S14"/>
    <x v="2"/>
    <x v="0"/>
    <x v="3"/>
    <x v="0"/>
    <n v="1"/>
    <n v="43.22"/>
  </r>
  <r>
    <x v="1"/>
    <s v="S14"/>
    <x v="2"/>
    <x v="0"/>
    <x v="3"/>
    <x v="1"/>
    <n v="1.0789"/>
    <n v="46.63"/>
  </r>
  <r>
    <x v="1"/>
    <s v="S14"/>
    <x v="2"/>
    <x v="0"/>
    <x v="3"/>
    <x v="2"/>
    <n v="1"/>
    <n v="43.22"/>
  </r>
  <r>
    <x v="1"/>
    <s v="S14"/>
    <x v="2"/>
    <x v="0"/>
    <x v="3"/>
    <x v="3"/>
    <n v="1"/>
    <n v="43.22"/>
  </r>
  <r>
    <x v="1"/>
    <s v="S14"/>
    <x v="2"/>
    <x v="0"/>
    <x v="3"/>
    <x v="4"/>
    <n v="1.0629"/>
    <n v="45.94"/>
  </r>
  <r>
    <x v="1"/>
    <s v="S14"/>
    <x v="2"/>
    <x v="0"/>
    <x v="3"/>
    <x v="5"/>
    <n v="1"/>
    <n v="43.22"/>
  </r>
  <r>
    <x v="1"/>
    <s v="S15"/>
    <x v="2"/>
    <x v="0"/>
    <x v="4"/>
    <x v="0"/>
    <n v="1"/>
    <n v="48.98"/>
  </r>
  <r>
    <x v="1"/>
    <s v="S15"/>
    <x v="2"/>
    <x v="0"/>
    <x v="4"/>
    <x v="1"/>
    <n v="1.0789"/>
    <n v="52.84"/>
  </r>
  <r>
    <x v="1"/>
    <s v="S15"/>
    <x v="2"/>
    <x v="0"/>
    <x v="4"/>
    <x v="2"/>
    <n v="1"/>
    <n v="48.98"/>
  </r>
  <r>
    <x v="1"/>
    <s v="S15"/>
    <x v="2"/>
    <x v="0"/>
    <x v="4"/>
    <x v="3"/>
    <n v="1"/>
    <n v="48.98"/>
  </r>
  <r>
    <x v="1"/>
    <s v="S15"/>
    <x v="2"/>
    <x v="0"/>
    <x v="4"/>
    <x v="4"/>
    <n v="1.0629"/>
    <n v="52.06"/>
  </r>
  <r>
    <x v="1"/>
    <s v="S15"/>
    <x v="2"/>
    <x v="0"/>
    <x v="4"/>
    <x v="5"/>
    <n v="1"/>
    <n v="48.98"/>
  </r>
  <r>
    <x v="1"/>
    <s v="S21"/>
    <x v="2"/>
    <x v="1"/>
    <x v="0"/>
    <x v="0"/>
    <n v="1"/>
    <n v="34.409999999999997"/>
  </r>
  <r>
    <x v="1"/>
    <s v="S21"/>
    <x v="2"/>
    <x v="1"/>
    <x v="0"/>
    <x v="1"/>
    <n v="1.0789"/>
    <n v="37.119999999999997"/>
  </r>
  <r>
    <x v="1"/>
    <s v="S21"/>
    <x v="2"/>
    <x v="1"/>
    <x v="0"/>
    <x v="2"/>
    <n v="1"/>
    <n v="34.409999999999997"/>
  </r>
  <r>
    <x v="1"/>
    <s v="S21"/>
    <x v="2"/>
    <x v="1"/>
    <x v="0"/>
    <x v="3"/>
    <n v="1"/>
    <n v="34.409999999999997"/>
  </r>
  <r>
    <x v="1"/>
    <s v="S21"/>
    <x v="2"/>
    <x v="1"/>
    <x v="0"/>
    <x v="4"/>
    <n v="1.0629"/>
    <n v="36.57"/>
  </r>
  <r>
    <x v="1"/>
    <s v="S21"/>
    <x v="2"/>
    <x v="1"/>
    <x v="0"/>
    <x v="5"/>
    <n v="1"/>
    <n v="34.409999999999997"/>
  </r>
  <r>
    <x v="1"/>
    <s v="S22"/>
    <x v="2"/>
    <x v="1"/>
    <x v="1"/>
    <x v="0"/>
    <n v="1"/>
    <n v="37.39"/>
  </r>
  <r>
    <x v="1"/>
    <s v="S22"/>
    <x v="2"/>
    <x v="1"/>
    <x v="1"/>
    <x v="1"/>
    <n v="1.0789"/>
    <n v="40.340000000000003"/>
  </r>
  <r>
    <x v="1"/>
    <s v="S22"/>
    <x v="2"/>
    <x v="1"/>
    <x v="1"/>
    <x v="2"/>
    <n v="1"/>
    <n v="37.39"/>
  </r>
  <r>
    <x v="1"/>
    <s v="S22"/>
    <x v="2"/>
    <x v="1"/>
    <x v="1"/>
    <x v="3"/>
    <n v="1"/>
    <n v="37.39"/>
  </r>
  <r>
    <x v="1"/>
    <s v="S22"/>
    <x v="2"/>
    <x v="1"/>
    <x v="1"/>
    <x v="4"/>
    <n v="1.0629"/>
    <n v="39.74"/>
  </r>
  <r>
    <x v="1"/>
    <s v="S22"/>
    <x v="2"/>
    <x v="1"/>
    <x v="1"/>
    <x v="5"/>
    <n v="1"/>
    <n v="37.39"/>
  </r>
  <r>
    <x v="1"/>
    <s v="S23"/>
    <x v="2"/>
    <x v="1"/>
    <x v="2"/>
    <x v="0"/>
    <n v="1"/>
    <n v="42.28"/>
  </r>
  <r>
    <x v="1"/>
    <s v="S23"/>
    <x v="2"/>
    <x v="1"/>
    <x v="2"/>
    <x v="1"/>
    <n v="1.0789"/>
    <n v="45.62"/>
  </r>
  <r>
    <x v="1"/>
    <s v="S23"/>
    <x v="2"/>
    <x v="1"/>
    <x v="2"/>
    <x v="2"/>
    <n v="1"/>
    <n v="42.28"/>
  </r>
  <r>
    <x v="1"/>
    <s v="S23"/>
    <x v="2"/>
    <x v="1"/>
    <x v="2"/>
    <x v="3"/>
    <n v="1"/>
    <n v="42.28"/>
  </r>
  <r>
    <x v="1"/>
    <s v="S23"/>
    <x v="2"/>
    <x v="1"/>
    <x v="2"/>
    <x v="4"/>
    <n v="1.0629"/>
    <n v="44.94"/>
  </r>
  <r>
    <x v="1"/>
    <s v="S23"/>
    <x v="2"/>
    <x v="1"/>
    <x v="2"/>
    <x v="5"/>
    <n v="1"/>
    <n v="42.28"/>
  </r>
  <r>
    <x v="1"/>
    <s v="S24"/>
    <x v="2"/>
    <x v="1"/>
    <x v="3"/>
    <x v="0"/>
    <n v="1"/>
    <n v="48.78"/>
  </r>
  <r>
    <x v="1"/>
    <s v="S24"/>
    <x v="2"/>
    <x v="1"/>
    <x v="3"/>
    <x v="1"/>
    <n v="1.0789"/>
    <n v="52.63"/>
  </r>
  <r>
    <x v="1"/>
    <s v="S24"/>
    <x v="2"/>
    <x v="1"/>
    <x v="3"/>
    <x v="2"/>
    <n v="1"/>
    <n v="48.78"/>
  </r>
  <r>
    <x v="1"/>
    <s v="S24"/>
    <x v="2"/>
    <x v="1"/>
    <x v="3"/>
    <x v="3"/>
    <n v="1"/>
    <n v="48.78"/>
  </r>
  <r>
    <x v="1"/>
    <s v="S24"/>
    <x v="2"/>
    <x v="1"/>
    <x v="3"/>
    <x v="4"/>
    <n v="1.0629"/>
    <n v="51.85"/>
  </r>
  <r>
    <x v="1"/>
    <s v="S24"/>
    <x v="2"/>
    <x v="1"/>
    <x v="3"/>
    <x v="5"/>
    <n v="1"/>
    <n v="48.78"/>
  </r>
  <r>
    <x v="1"/>
    <s v="S25"/>
    <x v="2"/>
    <x v="1"/>
    <x v="4"/>
    <x v="0"/>
    <n v="1"/>
    <n v="54.56"/>
  </r>
  <r>
    <x v="1"/>
    <s v="S25"/>
    <x v="2"/>
    <x v="1"/>
    <x v="4"/>
    <x v="1"/>
    <n v="1.0789"/>
    <n v="58.86"/>
  </r>
  <r>
    <x v="1"/>
    <s v="S25"/>
    <x v="2"/>
    <x v="1"/>
    <x v="4"/>
    <x v="2"/>
    <n v="1"/>
    <n v="54.56"/>
  </r>
  <r>
    <x v="1"/>
    <s v="S25"/>
    <x v="2"/>
    <x v="1"/>
    <x v="4"/>
    <x v="3"/>
    <n v="1"/>
    <n v="54.56"/>
  </r>
  <r>
    <x v="1"/>
    <s v="S25"/>
    <x v="2"/>
    <x v="1"/>
    <x v="4"/>
    <x v="4"/>
    <n v="1.0629"/>
    <n v="57.99"/>
  </r>
  <r>
    <x v="1"/>
    <s v="S25"/>
    <x v="2"/>
    <x v="1"/>
    <x v="4"/>
    <x v="5"/>
    <n v="1"/>
    <n v="54.56"/>
  </r>
  <r>
    <x v="1"/>
    <s v="S31"/>
    <x v="2"/>
    <x v="2"/>
    <x v="0"/>
    <x v="0"/>
    <n v="1"/>
    <n v="45.32"/>
  </r>
  <r>
    <x v="1"/>
    <s v="S31"/>
    <x v="2"/>
    <x v="2"/>
    <x v="0"/>
    <x v="1"/>
    <n v="1.0789"/>
    <n v="48.9"/>
  </r>
  <r>
    <x v="1"/>
    <s v="S31"/>
    <x v="2"/>
    <x v="2"/>
    <x v="0"/>
    <x v="2"/>
    <n v="1"/>
    <n v="45.32"/>
  </r>
  <r>
    <x v="1"/>
    <s v="S31"/>
    <x v="2"/>
    <x v="2"/>
    <x v="0"/>
    <x v="3"/>
    <n v="1"/>
    <n v="45.32"/>
  </r>
  <r>
    <x v="1"/>
    <s v="S31"/>
    <x v="2"/>
    <x v="2"/>
    <x v="0"/>
    <x v="4"/>
    <n v="1.0629"/>
    <n v="48.17"/>
  </r>
  <r>
    <x v="1"/>
    <s v="S31"/>
    <x v="2"/>
    <x v="2"/>
    <x v="0"/>
    <x v="5"/>
    <n v="1"/>
    <n v="45.32"/>
  </r>
  <r>
    <x v="1"/>
    <s v="S32"/>
    <x v="2"/>
    <x v="2"/>
    <x v="1"/>
    <x v="0"/>
    <n v="1"/>
    <n v="48.34"/>
  </r>
  <r>
    <x v="1"/>
    <s v="S32"/>
    <x v="2"/>
    <x v="2"/>
    <x v="1"/>
    <x v="1"/>
    <n v="1.0789"/>
    <n v="52.15"/>
  </r>
  <r>
    <x v="1"/>
    <s v="S32"/>
    <x v="2"/>
    <x v="2"/>
    <x v="1"/>
    <x v="2"/>
    <n v="1"/>
    <n v="48.34"/>
  </r>
  <r>
    <x v="1"/>
    <s v="S32"/>
    <x v="2"/>
    <x v="2"/>
    <x v="1"/>
    <x v="3"/>
    <n v="1"/>
    <n v="48.34"/>
  </r>
  <r>
    <x v="1"/>
    <s v="S32"/>
    <x v="2"/>
    <x v="2"/>
    <x v="1"/>
    <x v="4"/>
    <n v="1.0629"/>
    <n v="51.38"/>
  </r>
  <r>
    <x v="1"/>
    <s v="S32"/>
    <x v="2"/>
    <x v="2"/>
    <x v="1"/>
    <x v="5"/>
    <n v="1"/>
    <n v="48.34"/>
  </r>
  <r>
    <x v="1"/>
    <s v="S33"/>
    <x v="2"/>
    <x v="2"/>
    <x v="2"/>
    <x v="0"/>
    <n v="1"/>
    <n v="53.2"/>
  </r>
  <r>
    <x v="1"/>
    <s v="S33"/>
    <x v="2"/>
    <x v="2"/>
    <x v="2"/>
    <x v="1"/>
    <n v="1.0789"/>
    <n v="57.4"/>
  </r>
  <r>
    <x v="1"/>
    <s v="S33"/>
    <x v="2"/>
    <x v="2"/>
    <x v="2"/>
    <x v="2"/>
    <n v="1"/>
    <n v="53.2"/>
  </r>
  <r>
    <x v="1"/>
    <s v="S33"/>
    <x v="2"/>
    <x v="2"/>
    <x v="2"/>
    <x v="3"/>
    <n v="1"/>
    <n v="53.2"/>
  </r>
  <r>
    <x v="1"/>
    <s v="S33"/>
    <x v="2"/>
    <x v="2"/>
    <x v="2"/>
    <x v="4"/>
    <n v="1.0629"/>
    <n v="56.55"/>
  </r>
  <r>
    <x v="1"/>
    <s v="S33"/>
    <x v="2"/>
    <x v="2"/>
    <x v="2"/>
    <x v="5"/>
    <n v="1"/>
    <n v="53.2"/>
  </r>
  <r>
    <x v="1"/>
    <s v="S34"/>
    <x v="2"/>
    <x v="2"/>
    <x v="3"/>
    <x v="0"/>
    <n v="1"/>
    <n v="59.72"/>
  </r>
  <r>
    <x v="1"/>
    <s v="S34"/>
    <x v="2"/>
    <x v="2"/>
    <x v="3"/>
    <x v="1"/>
    <n v="1.0789"/>
    <n v="64.430000000000007"/>
  </r>
  <r>
    <x v="1"/>
    <s v="S34"/>
    <x v="2"/>
    <x v="2"/>
    <x v="3"/>
    <x v="2"/>
    <n v="1"/>
    <n v="59.72"/>
  </r>
  <r>
    <x v="1"/>
    <s v="S34"/>
    <x v="2"/>
    <x v="2"/>
    <x v="3"/>
    <x v="3"/>
    <n v="1"/>
    <n v="59.72"/>
  </r>
  <r>
    <x v="1"/>
    <s v="S34"/>
    <x v="2"/>
    <x v="2"/>
    <x v="3"/>
    <x v="4"/>
    <n v="1.0629"/>
    <n v="63.48"/>
  </r>
  <r>
    <x v="1"/>
    <s v="S34"/>
    <x v="2"/>
    <x v="2"/>
    <x v="3"/>
    <x v="5"/>
    <n v="1"/>
    <n v="59.72"/>
  </r>
  <r>
    <x v="1"/>
    <s v="S35"/>
    <x v="2"/>
    <x v="2"/>
    <x v="4"/>
    <x v="0"/>
    <n v="1"/>
    <n v="65.489999999999995"/>
  </r>
  <r>
    <x v="1"/>
    <s v="S35"/>
    <x v="2"/>
    <x v="2"/>
    <x v="4"/>
    <x v="1"/>
    <n v="1.0789"/>
    <n v="70.66"/>
  </r>
  <r>
    <x v="1"/>
    <s v="S35"/>
    <x v="2"/>
    <x v="2"/>
    <x v="4"/>
    <x v="2"/>
    <n v="1"/>
    <n v="65.489999999999995"/>
  </r>
  <r>
    <x v="1"/>
    <s v="S35"/>
    <x v="2"/>
    <x v="2"/>
    <x v="4"/>
    <x v="3"/>
    <n v="1"/>
    <n v="65.489999999999995"/>
  </r>
  <r>
    <x v="1"/>
    <s v="S35"/>
    <x v="2"/>
    <x v="2"/>
    <x v="4"/>
    <x v="4"/>
    <n v="1.0629"/>
    <n v="69.61"/>
  </r>
  <r>
    <x v="1"/>
    <s v="S35"/>
    <x v="2"/>
    <x v="2"/>
    <x v="4"/>
    <x v="5"/>
    <n v="1"/>
    <n v="65.489999999999995"/>
  </r>
  <r>
    <x v="1"/>
    <s v="S41"/>
    <x v="2"/>
    <x v="3"/>
    <x v="0"/>
    <x v="0"/>
    <n v="1"/>
    <n v="56.54"/>
  </r>
  <r>
    <x v="1"/>
    <s v="S41"/>
    <x v="2"/>
    <x v="3"/>
    <x v="0"/>
    <x v="1"/>
    <n v="1.0789"/>
    <n v="61"/>
  </r>
  <r>
    <x v="1"/>
    <s v="S41"/>
    <x v="2"/>
    <x v="3"/>
    <x v="0"/>
    <x v="2"/>
    <n v="1"/>
    <n v="56.54"/>
  </r>
  <r>
    <x v="1"/>
    <s v="S41"/>
    <x v="2"/>
    <x v="3"/>
    <x v="0"/>
    <x v="3"/>
    <n v="1"/>
    <n v="56.54"/>
  </r>
  <r>
    <x v="1"/>
    <s v="S41"/>
    <x v="2"/>
    <x v="3"/>
    <x v="0"/>
    <x v="4"/>
    <n v="1.0629"/>
    <n v="60.1"/>
  </r>
  <r>
    <x v="1"/>
    <s v="S41"/>
    <x v="2"/>
    <x v="3"/>
    <x v="0"/>
    <x v="5"/>
    <n v="1"/>
    <n v="56.54"/>
  </r>
  <r>
    <x v="1"/>
    <s v="S42"/>
    <x v="2"/>
    <x v="3"/>
    <x v="1"/>
    <x v="0"/>
    <n v="1"/>
    <n v="59.56"/>
  </r>
  <r>
    <x v="1"/>
    <s v="S42"/>
    <x v="2"/>
    <x v="3"/>
    <x v="1"/>
    <x v="1"/>
    <n v="1.0789"/>
    <n v="64.260000000000005"/>
  </r>
  <r>
    <x v="1"/>
    <s v="S42"/>
    <x v="2"/>
    <x v="3"/>
    <x v="1"/>
    <x v="2"/>
    <n v="1"/>
    <n v="59.56"/>
  </r>
  <r>
    <x v="1"/>
    <s v="S42"/>
    <x v="2"/>
    <x v="3"/>
    <x v="1"/>
    <x v="3"/>
    <n v="1"/>
    <n v="59.56"/>
  </r>
  <r>
    <x v="1"/>
    <s v="S42"/>
    <x v="2"/>
    <x v="3"/>
    <x v="1"/>
    <x v="4"/>
    <n v="1.0629"/>
    <n v="63.31"/>
  </r>
  <r>
    <x v="1"/>
    <s v="S42"/>
    <x v="2"/>
    <x v="3"/>
    <x v="1"/>
    <x v="5"/>
    <n v="1"/>
    <n v="59.56"/>
  </r>
  <r>
    <x v="1"/>
    <s v="S43"/>
    <x v="2"/>
    <x v="3"/>
    <x v="2"/>
    <x v="0"/>
    <n v="1"/>
    <n v="64.42"/>
  </r>
  <r>
    <x v="1"/>
    <s v="S43"/>
    <x v="2"/>
    <x v="3"/>
    <x v="2"/>
    <x v="1"/>
    <n v="1.0789"/>
    <n v="69.5"/>
  </r>
  <r>
    <x v="1"/>
    <s v="S43"/>
    <x v="2"/>
    <x v="3"/>
    <x v="2"/>
    <x v="2"/>
    <n v="1"/>
    <n v="64.42"/>
  </r>
  <r>
    <x v="1"/>
    <s v="S43"/>
    <x v="2"/>
    <x v="3"/>
    <x v="2"/>
    <x v="3"/>
    <n v="1"/>
    <n v="64.42"/>
  </r>
  <r>
    <x v="1"/>
    <s v="S43"/>
    <x v="2"/>
    <x v="3"/>
    <x v="2"/>
    <x v="4"/>
    <n v="1.0629"/>
    <n v="68.47"/>
  </r>
  <r>
    <x v="1"/>
    <s v="S43"/>
    <x v="2"/>
    <x v="3"/>
    <x v="2"/>
    <x v="5"/>
    <n v="1"/>
    <n v="64.42"/>
  </r>
  <r>
    <x v="1"/>
    <s v="S44"/>
    <x v="2"/>
    <x v="3"/>
    <x v="3"/>
    <x v="0"/>
    <n v="1"/>
    <n v="70.98"/>
  </r>
  <r>
    <x v="1"/>
    <s v="S44"/>
    <x v="2"/>
    <x v="3"/>
    <x v="3"/>
    <x v="1"/>
    <n v="1.0789"/>
    <n v="76.58"/>
  </r>
  <r>
    <x v="1"/>
    <s v="S44"/>
    <x v="2"/>
    <x v="3"/>
    <x v="3"/>
    <x v="2"/>
    <n v="1"/>
    <n v="70.98"/>
  </r>
  <r>
    <x v="1"/>
    <s v="S44"/>
    <x v="2"/>
    <x v="3"/>
    <x v="3"/>
    <x v="3"/>
    <n v="1"/>
    <n v="70.98"/>
  </r>
  <r>
    <x v="1"/>
    <s v="S44"/>
    <x v="2"/>
    <x v="3"/>
    <x v="3"/>
    <x v="4"/>
    <n v="1.0629"/>
    <n v="75.44"/>
  </r>
  <r>
    <x v="1"/>
    <s v="S44"/>
    <x v="2"/>
    <x v="3"/>
    <x v="3"/>
    <x v="5"/>
    <n v="1"/>
    <n v="70.98"/>
  </r>
  <r>
    <x v="1"/>
    <s v="S45"/>
    <x v="2"/>
    <x v="3"/>
    <x v="4"/>
    <x v="0"/>
    <n v="1"/>
    <n v="76.72"/>
  </r>
  <r>
    <x v="1"/>
    <s v="S45"/>
    <x v="2"/>
    <x v="3"/>
    <x v="4"/>
    <x v="1"/>
    <n v="1.0789"/>
    <n v="82.77"/>
  </r>
  <r>
    <x v="1"/>
    <s v="S45"/>
    <x v="2"/>
    <x v="3"/>
    <x v="4"/>
    <x v="2"/>
    <n v="1"/>
    <n v="76.72"/>
  </r>
  <r>
    <x v="1"/>
    <s v="S45"/>
    <x v="2"/>
    <x v="3"/>
    <x v="4"/>
    <x v="3"/>
    <n v="1"/>
    <n v="76.72"/>
  </r>
  <r>
    <x v="1"/>
    <s v="S45"/>
    <x v="2"/>
    <x v="3"/>
    <x v="4"/>
    <x v="4"/>
    <n v="1.0629"/>
    <n v="81.55"/>
  </r>
  <r>
    <x v="1"/>
    <s v="S45"/>
    <x v="2"/>
    <x v="3"/>
    <x v="4"/>
    <x v="5"/>
    <n v="1"/>
    <n v="76.72"/>
  </r>
  <r>
    <x v="1"/>
    <s v="S51"/>
    <x v="2"/>
    <x v="4"/>
    <x v="0"/>
    <x v="0"/>
    <n v="1"/>
    <n v="78.739999999999995"/>
  </r>
  <r>
    <x v="1"/>
    <s v="S51"/>
    <x v="2"/>
    <x v="4"/>
    <x v="0"/>
    <x v="1"/>
    <n v="1.0789"/>
    <n v="84.95"/>
  </r>
  <r>
    <x v="1"/>
    <s v="S51"/>
    <x v="2"/>
    <x v="4"/>
    <x v="0"/>
    <x v="2"/>
    <n v="1"/>
    <n v="78.739999999999995"/>
  </r>
  <r>
    <x v="1"/>
    <s v="S51"/>
    <x v="2"/>
    <x v="4"/>
    <x v="0"/>
    <x v="3"/>
    <n v="1"/>
    <n v="78.739999999999995"/>
  </r>
  <r>
    <x v="1"/>
    <s v="S51"/>
    <x v="2"/>
    <x v="4"/>
    <x v="0"/>
    <x v="4"/>
    <n v="1.0629"/>
    <n v="83.69"/>
  </r>
  <r>
    <x v="1"/>
    <s v="S51"/>
    <x v="2"/>
    <x v="4"/>
    <x v="0"/>
    <x v="5"/>
    <n v="1"/>
    <n v="78.739999999999995"/>
  </r>
  <r>
    <x v="1"/>
    <s v="S52"/>
    <x v="2"/>
    <x v="4"/>
    <x v="1"/>
    <x v="0"/>
    <n v="1"/>
    <n v="81.73"/>
  </r>
  <r>
    <x v="1"/>
    <s v="S52"/>
    <x v="2"/>
    <x v="4"/>
    <x v="1"/>
    <x v="1"/>
    <n v="1.0789"/>
    <n v="88.18"/>
  </r>
  <r>
    <x v="1"/>
    <s v="S52"/>
    <x v="2"/>
    <x v="4"/>
    <x v="1"/>
    <x v="2"/>
    <n v="1"/>
    <n v="81.73"/>
  </r>
  <r>
    <x v="1"/>
    <s v="S52"/>
    <x v="2"/>
    <x v="4"/>
    <x v="1"/>
    <x v="3"/>
    <n v="1"/>
    <n v="81.73"/>
  </r>
  <r>
    <x v="1"/>
    <s v="S52"/>
    <x v="2"/>
    <x v="4"/>
    <x v="1"/>
    <x v="4"/>
    <n v="1.0629"/>
    <n v="86.87"/>
  </r>
  <r>
    <x v="1"/>
    <s v="S52"/>
    <x v="2"/>
    <x v="4"/>
    <x v="1"/>
    <x v="5"/>
    <n v="1"/>
    <n v="81.73"/>
  </r>
  <r>
    <x v="1"/>
    <s v="S53"/>
    <x v="2"/>
    <x v="4"/>
    <x v="2"/>
    <x v="0"/>
    <n v="1"/>
    <n v="86.58"/>
  </r>
  <r>
    <x v="1"/>
    <s v="S53"/>
    <x v="2"/>
    <x v="4"/>
    <x v="2"/>
    <x v="1"/>
    <n v="1.0789"/>
    <n v="93.41"/>
  </r>
  <r>
    <x v="1"/>
    <s v="S53"/>
    <x v="2"/>
    <x v="4"/>
    <x v="2"/>
    <x v="2"/>
    <n v="1"/>
    <n v="86.58"/>
  </r>
  <r>
    <x v="1"/>
    <s v="S53"/>
    <x v="2"/>
    <x v="4"/>
    <x v="2"/>
    <x v="3"/>
    <n v="1"/>
    <n v="86.58"/>
  </r>
  <r>
    <x v="1"/>
    <s v="S53"/>
    <x v="2"/>
    <x v="4"/>
    <x v="2"/>
    <x v="4"/>
    <n v="1.0629"/>
    <n v="92.03"/>
  </r>
  <r>
    <x v="1"/>
    <s v="S53"/>
    <x v="2"/>
    <x v="4"/>
    <x v="2"/>
    <x v="5"/>
    <n v="1"/>
    <n v="86.58"/>
  </r>
  <r>
    <x v="1"/>
    <s v="S54"/>
    <x v="2"/>
    <x v="4"/>
    <x v="3"/>
    <x v="0"/>
    <n v="1"/>
    <n v="93.13"/>
  </r>
  <r>
    <x v="1"/>
    <s v="S54"/>
    <x v="2"/>
    <x v="4"/>
    <x v="3"/>
    <x v="1"/>
    <n v="1.0789"/>
    <n v="100.48"/>
  </r>
  <r>
    <x v="1"/>
    <s v="S54"/>
    <x v="2"/>
    <x v="4"/>
    <x v="3"/>
    <x v="2"/>
    <n v="1"/>
    <n v="93.13"/>
  </r>
  <r>
    <x v="1"/>
    <s v="S54"/>
    <x v="2"/>
    <x v="4"/>
    <x v="3"/>
    <x v="3"/>
    <n v="1"/>
    <n v="93.13"/>
  </r>
  <r>
    <x v="1"/>
    <s v="S54"/>
    <x v="2"/>
    <x v="4"/>
    <x v="3"/>
    <x v="4"/>
    <n v="1.0629"/>
    <n v="98.99"/>
  </r>
  <r>
    <x v="1"/>
    <s v="S54"/>
    <x v="2"/>
    <x v="4"/>
    <x v="3"/>
    <x v="5"/>
    <n v="1"/>
    <n v="93.13"/>
  </r>
  <r>
    <x v="1"/>
    <s v="S55"/>
    <x v="2"/>
    <x v="4"/>
    <x v="4"/>
    <x v="0"/>
    <n v="1"/>
    <n v="98.89"/>
  </r>
  <r>
    <x v="1"/>
    <s v="S55"/>
    <x v="2"/>
    <x v="4"/>
    <x v="4"/>
    <x v="1"/>
    <n v="1.0789"/>
    <n v="106.69"/>
  </r>
  <r>
    <x v="1"/>
    <s v="S55"/>
    <x v="2"/>
    <x v="4"/>
    <x v="4"/>
    <x v="2"/>
    <n v="1"/>
    <n v="98.89"/>
  </r>
  <r>
    <x v="1"/>
    <s v="S55"/>
    <x v="2"/>
    <x v="4"/>
    <x v="4"/>
    <x v="3"/>
    <n v="1"/>
    <n v="98.89"/>
  </r>
  <r>
    <x v="1"/>
    <s v="S55"/>
    <x v="2"/>
    <x v="4"/>
    <x v="4"/>
    <x v="4"/>
    <n v="1.0629"/>
    <n v="105.11"/>
  </r>
  <r>
    <x v="1"/>
    <s v="S55"/>
    <x v="2"/>
    <x v="4"/>
    <x v="4"/>
    <x v="5"/>
    <n v="1"/>
    <n v="98.8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s v="BSS - Behavioral Assessment CP Traditional"/>
    <x v="0"/>
    <x v="0"/>
    <x v="0"/>
    <s v="Milestone"/>
    <x v="0"/>
    <d v="2023-06-30T00:00:00"/>
    <n v="1595.74"/>
    <x v="0"/>
    <s v="Y"/>
  </r>
  <r>
    <s v="BSS - Behavioral Assessment CP Traditional"/>
    <x v="0"/>
    <x v="0"/>
    <x v="0"/>
    <s v="Milestone"/>
    <x v="1"/>
    <d v="2024-06-30T00:00:00"/>
    <n v="1659.57"/>
    <x v="0"/>
    <s v="Y"/>
  </r>
  <r>
    <s v="BSS - Behavioral Assessment CS Self-Direction"/>
    <x v="1"/>
    <x v="1"/>
    <x v="1"/>
    <s v="Milestone"/>
    <x v="0"/>
    <d v="2023-06-30T00:00:00"/>
    <n v="1595.74"/>
    <x v="0"/>
    <s v="Y"/>
  </r>
  <r>
    <s v="BSS - Behavioral Assessment CS Self-Direction"/>
    <x v="1"/>
    <x v="1"/>
    <x v="1"/>
    <s v="Milestone"/>
    <x v="1"/>
    <d v="2024-06-30T00:00:00"/>
    <n v="1659.57"/>
    <x v="0"/>
    <s v="Y"/>
  </r>
  <r>
    <s v="BSS - Behavioral Assessment CS Traditional"/>
    <x v="2"/>
    <x v="1"/>
    <x v="0"/>
    <s v="Milestone"/>
    <x v="0"/>
    <d v="2023-06-30T00:00:00"/>
    <n v="1595.74"/>
    <x v="0"/>
    <s v="Y"/>
  </r>
  <r>
    <s v="BSS - Behavioral Assessment CS Traditional"/>
    <x v="2"/>
    <x v="1"/>
    <x v="0"/>
    <s v="Milestone"/>
    <x v="1"/>
    <d v="2024-06-30T00:00:00"/>
    <n v="1659.57"/>
    <x v="0"/>
    <s v="Y"/>
  </r>
  <r>
    <s v="BSS - Behavioral Assessment FS Self-Direction"/>
    <x v="3"/>
    <x v="2"/>
    <x v="1"/>
    <s v="Milestone"/>
    <x v="0"/>
    <d v="2023-06-30T00:00:00"/>
    <n v="1595.74"/>
    <x v="0"/>
    <s v="Y"/>
  </r>
  <r>
    <s v="BSS - Behavioral Assessment FS Self-Direction"/>
    <x v="3"/>
    <x v="2"/>
    <x v="1"/>
    <s v="Milestone"/>
    <x v="1"/>
    <d v="2024-06-30T00:00:00"/>
    <n v="1659.57"/>
    <x v="0"/>
    <s v="Y"/>
  </r>
  <r>
    <s v="BSS - Behavioral Assessment FS Traditional"/>
    <x v="4"/>
    <x v="2"/>
    <x v="0"/>
    <s v="Milestone"/>
    <x v="0"/>
    <d v="2023-06-30T00:00:00"/>
    <n v="1595.74"/>
    <x v="0"/>
    <s v="Y"/>
  </r>
  <r>
    <s v="BSS - Behavioral Assessment FS Traditional"/>
    <x v="4"/>
    <x v="2"/>
    <x v="0"/>
    <s v="Milestone"/>
    <x v="1"/>
    <d v="2024-06-30T00:00:00"/>
    <n v="1659.57"/>
    <x v="0"/>
    <s v="Y"/>
  </r>
  <r>
    <s v="BSS - Behavioral Consultation CP Self-Direction"/>
    <x v="5"/>
    <x v="0"/>
    <x v="1"/>
    <s v="Quarter Hour"/>
    <x v="0"/>
    <d v="2023-06-30T00:00:00"/>
    <n v="36.299999999999997"/>
    <x v="0"/>
    <s v="Y"/>
  </r>
  <r>
    <s v="BSS - Behavioral Consultation CP Self-Direction"/>
    <x v="5"/>
    <x v="0"/>
    <x v="1"/>
    <s v="Quarter Hour"/>
    <x v="1"/>
    <d v="2024-06-30T00:00:00"/>
    <n v="37.75"/>
    <x v="0"/>
    <s v="Y"/>
  </r>
  <r>
    <s v="BSS - Behavioral Consultation CP Traditional"/>
    <x v="6"/>
    <x v="0"/>
    <x v="0"/>
    <s v="Quarter Hour"/>
    <x v="0"/>
    <d v="2023-06-30T00:00:00"/>
    <n v="36.299999999999997"/>
    <x v="0"/>
    <s v="Y"/>
  </r>
  <r>
    <s v="BSS - Behavioral Consultation CP Traditional"/>
    <x v="6"/>
    <x v="0"/>
    <x v="0"/>
    <s v="Quarter Hour"/>
    <x v="1"/>
    <d v="2024-06-30T00:00:00"/>
    <n v="37.75"/>
    <x v="0"/>
    <s v="Y"/>
  </r>
  <r>
    <s v="BSS - Behavioral Consultation CS Self-Direction"/>
    <x v="7"/>
    <x v="1"/>
    <x v="1"/>
    <s v="Quarter Hour"/>
    <x v="0"/>
    <d v="2023-06-30T00:00:00"/>
    <n v="36.299999999999997"/>
    <x v="0"/>
    <s v="Y"/>
  </r>
  <r>
    <s v="BSS - Behavioral Consultation CS Self-Direction"/>
    <x v="7"/>
    <x v="1"/>
    <x v="1"/>
    <s v="Quarter Hour"/>
    <x v="1"/>
    <d v="2024-06-30T00:00:00"/>
    <n v="37.75"/>
    <x v="0"/>
    <s v="Y"/>
  </r>
  <r>
    <s v="BSS - Behavioral Consultation CS Traditional - Quarter Hour"/>
    <x v="8"/>
    <x v="1"/>
    <x v="0"/>
    <s v="Quarter Hour"/>
    <x v="0"/>
    <d v="2023-06-30T00:00:00"/>
    <n v="36.299999999999997"/>
    <x v="0"/>
    <s v="Y"/>
  </r>
  <r>
    <s v="BSS - Behavioral Consultation CS Traditional - Quarter Hour"/>
    <x v="8"/>
    <x v="1"/>
    <x v="0"/>
    <s v="Quarter Hour"/>
    <x v="1"/>
    <d v="2024-06-30T00:00:00"/>
    <n v="37.75"/>
    <x v="0"/>
    <s v="Y"/>
  </r>
  <r>
    <s v="BSS - Behavioral Consultation FS Self-Direction"/>
    <x v="9"/>
    <x v="2"/>
    <x v="1"/>
    <s v="Quarter Hour"/>
    <x v="0"/>
    <d v="2023-06-30T00:00:00"/>
    <n v="36.299999999999997"/>
    <x v="0"/>
    <s v="Y"/>
  </r>
  <r>
    <s v="BSS - Behavioral Consultation FS Self-Direction"/>
    <x v="9"/>
    <x v="2"/>
    <x v="1"/>
    <s v="Quarter Hour"/>
    <x v="1"/>
    <d v="2024-06-30T00:00:00"/>
    <n v="37.75"/>
    <x v="0"/>
    <s v="Y"/>
  </r>
  <r>
    <s v="BSS - Behavioral Consultation FS Traditional"/>
    <x v="10"/>
    <x v="2"/>
    <x v="0"/>
    <s v="Quarter Hour"/>
    <x v="0"/>
    <d v="2023-06-30T00:00:00"/>
    <n v="36.299999999999997"/>
    <x v="0"/>
    <s v="Y"/>
  </r>
  <r>
    <s v="BSS - Behavioral Consultation FS Traditional"/>
    <x v="10"/>
    <x v="2"/>
    <x v="0"/>
    <s v="Quarter Hour"/>
    <x v="1"/>
    <d v="2024-06-30T00:00:00"/>
    <n v="37.75"/>
    <x v="0"/>
    <s v="Y"/>
  </r>
  <r>
    <s v="BSS - Behavioral Plan CP Traditional"/>
    <x v="11"/>
    <x v="0"/>
    <x v="0"/>
    <s v="Milestone"/>
    <x v="0"/>
    <d v="2023-06-30T00:00:00"/>
    <n v="1595.74"/>
    <x v="0"/>
    <s v="Y"/>
  </r>
  <r>
    <s v="BSS - Behavioral Plan CP Traditional"/>
    <x v="11"/>
    <x v="0"/>
    <x v="0"/>
    <s v="Milestone"/>
    <x v="1"/>
    <d v="2024-06-30T00:00:00"/>
    <n v="1659.57"/>
    <x v="0"/>
    <s v="Y"/>
  </r>
  <r>
    <s v="BSS - Behavioral Plan CS Self-Direction"/>
    <x v="12"/>
    <x v="1"/>
    <x v="1"/>
    <s v="Milestone"/>
    <x v="0"/>
    <d v="2023-06-30T00:00:00"/>
    <n v="1595.74"/>
    <x v="0"/>
    <s v="Y"/>
  </r>
  <r>
    <s v="BSS - Behavioral Plan CS Self-Direction"/>
    <x v="12"/>
    <x v="1"/>
    <x v="1"/>
    <s v="Milestone"/>
    <x v="1"/>
    <d v="2024-06-30T00:00:00"/>
    <n v="1659.57"/>
    <x v="0"/>
    <s v="Y"/>
  </r>
  <r>
    <s v="BSS - Behavioral Plan CS Traditional"/>
    <x v="13"/>
    <x v="1"/>
    <x v="0"/>
    <s v="Milestone"/>
    <x v="0"/>
    <d v="2023-06-30T00:00:00"/>
    <n v="1595.74"/>
    <x v="0"/>
    <s v="Y"/>
  </r>
  <r>
    <s v="BSS - Behavioral Plan CS Traditional"/>
    <x v="13"/>
    <x v="1"/>
    <x v="0"/>
    <s v="Milestone"/>
    <x v="1"/>
    <d v="2024-06-30T00:00:00"/>
    <n v="1659.57"/>
    <x v="0"/>
    <s v="Y"/>
  </r>
  <r>
    <s v="BSS - Behavioral Plan FS Self-Direction"/>
    <x v="14"/>
    <x v="2"/>
    <x v="1"/>
    <s v="Milestone"/>
    <x v="0"/>
    <d v="2023-06-30T00:00:00"/>
    <n v="1595.74"/>
    <x v="0"/>
    <s v="Y"/>
  </r>
  <r>
    <s v="BSS - Behavioral Plan FS Self-Direction"/>
    <x v="14"/>
    <x v="2"/>
    <x v="1"/>
    <s v="Milestone"/>
    <x v="1"/>
    <d v="2024-06-30T00:00:00"/>
    <n v="1659.57"/>
    <x v="0"/>
    <s v="Y"/>
  </r>
  <r>
    <s v="BSS - Behavioral Plan FS Traditional"/>
    <x v="15"/>
    <x v="2"/>
    <x v="0"/>
    <s v="Milestone"/>
    <x v="0"/>
    <d v="2023-06-30T00:00:00"/>
    <n v="1595.74"/>
    <x v="0"/>
    <s v="Y"/>
  </r>
  <r>
    <s v="BSS - Behavioral Plan FS Traditional"/>
    <x v="15"/>
    <x v="2"/>
    <x v="0"/>
    <s v="Milestone"/>
    <x v="1"/>
    <d v="2024-06-30T00:00:00"/>
    <n v="1659.57"/>
    <x v="0"/>
    <s v="Y"/>
  </r>
  <r>
    <s v="BSS - Brief Support Implementation"/>
    <x v="16"/>
    <x v="0"/>
    <x v="0"/>
    <s v="Quarter Hour"/>
    <x v="0"/>
    <d v="2023-06-30T00:00:00"/>
    <n v="18.25"/>
    <x v="0"/>
    <s v="Y"/>
  </r>
  <r>
    <s v="BSS - Brief Support Implementation"/>
    <x v="16"/>
    <x v="0"/>
    <x v="0"/>
    <s v="Quarter Hour"/>
    <x v="1"/>
    <d v="2024-06-30T00:00:00"/>
    <n v="18.98"/>
    <x v="0"/>
    <s v="Y"/>
  </r>
  <r>
    <s v="BSS - Brief Support Implementation CS Self-Direction"/>
    <x v="17"/>
    <x v="1"/>
    <x v="1"/>
    <s v="Quarter Hour"/>
    <x v="0"/>
    <d v="2023-06-30T00:00:00"/>
    <n v="18.25"/>
    <x v="0"/>
    <s v="Y"/>
  </r>
  <r>
    <s v="BSS - Brief Support Implementation CS Self-Direction"/>
    <x v="17"/>
    <x v="1"/>
    <x v="1"/>
    <s v="Quarter Hour"/>
    <x v="1"/>
    <d v="2024-06-30T00:00:00"/>
    <n v="18.98"/>
    <x v="0"/>
    <s v="Y"/>
  </r>
  <r>
    <s v="BSS - Brief Support Implementation CS Traditional"/>
    <x v="18"/>
    <x v="1"/>
    <x v="0"/>
    <s v="Quarter Hour"/>
    <x v="0"/>
    <d v="2023-06-30T00:00:00"/>
    <n v="18.25"/>
    <x v="0"/>
    <s v="Y"/>
  </r>
  <r>
    <s v="BSS - Brief Support Implementation CS Traditional"/>
    <x v="18"/>
    <x v="1"/>
    <x v="0"/>
    <s v="Quarter Hour"/>
    <x v="1"/>
    <d v="2024-06-30T00:00:00"/>
    <n v="18.98"/>
    <x v="0"/>
    <s v="Y"/>
  </r>
  <r>
    <s v="BSS - Brief Support Implementation FS Self-Direction"/>
    <x v="19"/>
    <x v="2"/>
    <x v="1"/>
    <s v="Quarter Hour"/>
    <x v="0"/>
    <d v="2023-06-30T00:00:00"/>
    <n v="18.25"/>
    <x v="0"/>
    <s v="Y"/>
  </r>
  <r>
    <s v="BSS - Brief Support Implementation FS Self-Direction"/>
    <x v="19"/>
    <x v="2"/>
    <x v="1"/>
    <s v="Quarter Hour"/>
    <x v="1"/>
    <d v="2024-06-30T00:00:00"/>
    <n v="18.98"/>
    <x v="0"/>
    <s v="Y"/>
  </r>
  <r>
    <s v="BSS - Brief Support Implementation FS Traditional"/>
    <x v="20"/>
    <x v="2"/>
    <x v="0"/>
    <s v="Quarter Hour"/>
    <x v="0"/>
    <d v="2023-06-30T00:00:00"/>
    <n v="18.25"/>
    <x v="0"/>
    <s v="Y"/>
  </r>
  <r>
    <s v="BSS - Brief Support Implementation FS Traditional"/>
    <x v="20"/>
    <x v="2"/>
    <x v="0"/>
    <s v="Quarter Hour"/>
    <x v="1"/>
    <d v="2024-06-30T00:00:00"/>
    <n v="18.98"/>
    <x v="0"/>
    <s v="Y"/>
  </r>
  <r>
    <s v="Community Development Services CS Self-Direction"/>
    <x v="21"/>
    <x v="1"/>
    <x v="1"/>
    <s v="Day"/>
    <x v="0"/>
    <d v="2023-06-30T00:00:00"/>
    <n v="1089"/>
    <x v="1"/>
    <s v="Y"/>
  </r>
  <r>
    <s v="Community Development Services CS Self-Direction"/>
    <x v="21"/>
    <x v="1"/>
    <x v="1"/>
    <s v="Day"/>
    <x v="1"/>
    <d v="2024-06-30T00:00:00"/>
    <n v="1133"/>
    <x v="1"/>
    <s v="Y"/>
  </r>
  <r>
    <s v="Employment Discovery and Customization CS Self-Direction"/>
    <x v="22"/>
    <x v="1"/>
    <x v="1"/>
    <s v="Day"/>
    <x v="0"/>
    <d v="2023-06-30T00:00:00"/>
    <n v="1089"/>
    <x v="2"/>
    <s v="Y"/>
  </r>
  <r>
    <s v="Employment Discovery and Customization CS Self-Direction"/>
    <x v="22"/>
    <x v="1"/>
    <x v="1"/>
    <s v="Day"/>
    <x v="1"/>
    <d v="2024-06-30T00:00:00"/>
    <n v="1133"/>
    <x v="2"/>
    <s v="Y"/>
  </r>
  <r>
    <s v="Environmental Assessment"/>
    <x v="23"/>
    <x v="0"/>
    <x v="0"/>
    <s v="Milestone"/>
    <x v="0"/>
    <d v="2023-06-30T00:00:00"/>
    <n v="474.49"/>
    <x v="3"/>
    <s v="Y"/>
  </r>
  <r>
    <s v="Environmental Assessment"/>
    <x v="23"/>
    <x v="0"/>
    <x v="0"/>
    <s v="Milestone"/>
    <x v="1"/>
    <d v="2024-06-30T00:00:00"/>
    <n v="493.47"/>
    <x v="3"/>
    <s v="Y"/>
  </r>
  <r>
    <s v="Environmental Assessment CS Self-Direction"/>
    <x v="24"/>
    <x v="1"/>
    <x v="1"/>
    <s v="Milestone"/>
    <x v="0"/>
    <d v="2023-06-30T00:00:00"/>
    <n v="474.49"/>
    <x v="3"/>
    <s v="Y"/>
  </r>
  <r>
    <s v="Environmental Assessment CS Self-Direction"/>
    <x v="24"/>
    <x v="1"/>
    <x v="1"/>
    <s v="Milestone"/>
    <x v="1"/>
    <d v="2024-06-30T00:00:00"/>
    <n v="493.47"/>
    <x v="3"/>
    <s v="Y"/>
  </r>
  <r>
    <s v="Environmental Assessment CS Traditional"/>
    <x v="25"/>
    <x v="1"/>
    <x v="0"/>
    <s v="Milestone"/>
    <x v="0"/>
    <d v="2023-06-30T00:00:00"/>
    <n v="474.49"/>
    <x v="3"/>
    <s v="Y"/>
  </r>
  <r>
    <s v="Environmental Assessment CS Traditional"/>
    <x v="25"/>
    <x v="1"/>
    <x v="0"/>
    <s v="Milestone"/>
    <x v="1"/>
    <d v="2024-06-30T00:00:00"/>
    <n v="493.47"/>
    <x v="3"/>
    <s v="Y"/>
  </r>
  <r>
    <s v="Environmental Assessment FS Self-Direction"/>
    <x v="26"/>
    <x v="2"/>
    <x v="1"/>
    <s v="Milestone"/>
    <x v="0"/>
    <d v="2023-06-30T00:00:00"/>
    <n v="474.49"/>
    <x v="3"/>
    <s v="Y"/>
  </r>
  <r>
    <s v="Environmental Assessment FS Self-Direction"/>
    <x v="26"/>
    <x v="2"/>
    <x v="1"/>
    <s v="Milestone"/>
    <x v="1"/>
    <d v="2024-06-30T00:00:00"/>
    <n v="493.47"/>
    <x v="3"/>
    <s v="Y"/>
  </r>
  <r>
    <s v="Environmental Assessment FS Traditional"/>
    <x v="27"/>
    <x v="2"/>
    <x v="0"/>
    <s v="Milestone"/>
    <x v="0"/>
    <d v="2023-06-30T00:00:00"/>
    <n v="474.49"/>
    <x v="3"/>
    <s v="Y"/>
  </r>
  <r>
    <s v="Environmental Assessment FS Traditional"/>
    <x v="27"/>
    <x v="2"/>
    <x v="0"/>
    <s v="Milestone"/>
    <x v="1"/>
    <d v="2024-06-30T00:00:00"/>
    <n v="493.47"/>
    <x v="3"/>
    <s v="Y"/>
  </r>
  <r>
    <s v="Family and Peer Mentoring Supports"/>
    <x v="28"/>
    <x v="0"/>
    <x v="0"/>
    <s v="Hour"/>
    <x v="0"/>
    <d v="2023-06-30T00:00:00"/>
    <n v="65.37"/>
    <x v="4"/>
    <s v="Y"/>
  </r>
  <r>
    <s v="Family and Peer Mentoring Supports"/>
    <x v="28"/>
    <x v="0"/>
    <x v="0"/>
    <s v="Hour"/>
    <x v="1"/>
    <d v="2024-06-30T00:00:00"/>
    <n v="67.98"/>
    <x v="4"/>
    <s v="Y"/>
  </r>
  <r>
    <s v="Family and Peer Mentoring Supports CS Self-Direction"/>
    <x v="29"/>
    <x v="1"/>
    <x v="1"/>
    <s v="Hour"/>
    <x v="0"/>
    <d v="2023-06-30T00:00:00"/>
    <n v="65.37"/>
    <x v="4"/>
    <s v="Y"/>
  </r>
  <r>
    <s v="Family and Peer Mentoring Supports CS Self-Direction"/>
    <x v="29"/>
    <x v="1"/>
    <x v="1"/>
    <s v="Hour"/>
    <x v="1"/>
    <d v="2024-06-30T00:00:00"/>
    <n v="67.98"/>
    <x v="4"/>
    <s v="Y"/>
  </r>
  <r>
    <s v="Family and Peer Mentoring Supports CS Traditional"/>
    <x v="30"/>
    <x v="1"/>
    <x v="0"/>
    <s v="Hour"/>
    <x v="0"/>
    <d v="2023-06-30T00:00:00"/>
    <n v="65.37"/>
    <x v="4"/>
    <s v="Y"/>
  </r>
  <r>
    <s v="Family and Peer Mentoring Supports CS Traditional"/>
    <x v="30"/>
    <x v="1"/>
    <x v="0"/>
    <s v="Hour"/>
    <x v="1"/>
    <d v="2024-06-30T00:00:00"/>
    <n v="67.98"/>
    <x v="4"/>
    <s v="Y"/>
  </r>
  <r>
    <s v="Family and Peer Mentoring Supports FS Self-Direction"/>
    <x v="31"/>
    <x v="2"/>
    <x v="1"/>
    <s v="Hour"/>
    <x v="0"/>
    <d v="2023-06-30T00:00:00"/>
    <n v="65.37"/>
    <x v="4"/>
    <s v="Y"/>
  </r>
  <r>
    <s v="Family and Peer Mentoring Supports FS Self-Direction"/>
    <x v="31"/>
    <x v="2"/>
    <x v="1"/>
    <s v="Hour"/>
    <x v="1"/>
    <d v="2024-06-30T00:00:00"/>
    <n v="67.98"/>
    <x v="4"/>
    <s v="Y"/>
  </r>
  <r>
    <s v="Family and Peer Mentoring Supports FS Traditional"/>
    <x v="32"/>
    <x v="2"/>
    <x v="0"/>
    <s v="Hour"/>
    <x v="0"/>
    <d v="2023-06-30T00:00:00"/>
    <n v="65.37"/>
    <x v="4"/>
    <s v="Y"/>
  </r>
  <r>
    <s v="Family and Peer Mentoring Supports FS Traditional"/>
    <x v="32"/>
    <x v="2"/>
    <x v="0"/>
    <s v="Hour"/>
    <x v="1"/>
    <d v="2024-06-30T00:00:00"/>
    <n v="67.98"/>
    <x v="4"/>
    <s v="Y"/>
  </r>
  <r>
    <s v="Housing Support Services"/>
    <x v="33"/>
    <x v="0"/>
    <x v="0"/>
    <s v="Hour"/>
    <x v="0"/>
    <d v="2023-06-30T00:00:00"/>
    <n v="67.78"/>
    <x v="5"/>
    <s v="Y"/>
  </r>
  <r>
    <s v="Housing Support Services"/>
    <x v="33"/>
    <x v="0"/>
    <x v="0"/>
    <s v="Hour"/>
    <x v="1"/>
    <d v="2024-06-30T00:00:00"/>
    <n v="70.489999999999995"/>
    <x v="5"/>
    <s v="Y"/>
  </r>
  <r>
    <s v="Housing Support Services CS Self-Direction"/>
    <x v="34"/>
    <x v="1"/>
    <x v="1"/>
    <s v="Hour"/>
    <x v="0"/>
    <d v="2023-06-30T00:00:00"/>
    <n v="67.78"/>
    <x v="5"/>
    <s v="Y"/>
  </r>
  <r>
    <s v="Housing Support Services CS Self-Direction"/>
    <x v="34"/>
    <x v="1"/>
    <x v="1"/>
    <s v="Hour"/>
    <x v="1"/>
    <d v="2024-06-30T00:00:00"/>
    <n v="70.489999999999995"/>
    <x v="5"/>
    <s v="Y"/>
  </r>
  <r>
    <s v="Housing Support Services CS Traditional"/>
    <x v="35"/>
    <x v="1"/>
    <x v="0"/>
    <s v="Hour"/>
    <x v="0"/>
    <d v="2023-06-30T00:00:00"/>
    <n v="67.78"/>
    <x v="5"/>
    <s v="Y"/>
  </r>
  <r>
    <s v="Housing Support Services CS Traditional"/>
    <x v="35"/>
    <x v="1"/>
    <x v="0"/>
    <s v="Hour"/>
    <x v="1"/>
    <d v="2024-06-30T00:00:00"/>
    <n v="70.489999999999995"/>
    <x v="5"/>
    <s v="Y"/>
  </r>
  <r>
    <s v="Housing Support Services FS Self-Direction"/>
    <x v="36"/>
    <x v="2"/>
    <x v="1"/>
    <s v="Hour"/>
    <x v="0"/>
    <d v="2023-06-30T00:00:00"/>
    <n v="67.78"/>
    <x v="5"/>
    <s v="Y"/>
  </r>
  <r>
    <s v="Housing Support Services FS Self-Direction"/>
    <x v="36"/>
    <x v="2"/>
    <x v="1"/>
    <s v="Hour"/>
    <x v="1"/>
    <d v="2024-06-30T00:00:00"/>
    <n v="70.489999999999995"/>
    <x v="5"/>
    <s v="Y"/>
  </r>
  <r>
    <s v="Housing Support Services FS Traditional"/>
    <x v="37"/>
    <x v="2"/>
    <x v="0"/>
    <s v="Hour"/>
    <x v="0"/>
    <d v="2023-06-30T00:00:00"/>
    <n v="67.78"/>
    <x v="5"/>
    <s v="Y"/>
  </r>
  <r>
    <s v="Housing Support Services FS Traditional"/>
    <x v="37"/>
    <x v="2"/>
    <x v="0"/>
    <s v="Hour"/>
    <x v="1"/>
    <d v="2024-06-30T00:00:00"/>
    <n v="70.489999999999995"/>
    <x v="5"/>
    <s v="Y"/>
  </r>
  <r>
    <s v="Live In Caregiver Support"/>
    <x v="38"/>
    <x v="0"/>
    <x v="0"/>
    <s v="Month"/>
    <x v="0"/>
    <d v="2023-06-30T00:00:00"/>
    <n v="1200"/>
    <x v="3"/>
    <s v="Y"/>
  </r>
  <r>
    <s v="Live In Caregiver Support"/>
    <x v="38"/>
    <x v="0"/>
    <x v="0"/>
    <s v="Month"/>
    <x v="1"/>
    <d v="2024-06-30T00:00:00"/>
    <n v="1200"/>
    <x v="3"/>
    <s v="Y"/>
  </r>
  <r>
    <s v="Nursing Support Service"/>
    <x v="39"/>
    <x v="0"/>
    <x v="0"/>
    <s v="Quarter Hour"/>
    <x v="0"/>
    <d v="2023-06-30T00:00:00"/>
    <n v="21.48"/>
    <x v="6"/>
    <s v="Y"/>
  </r>
  <r>
    <s v="Nursing Support Service"/>
    <x v="39"/>
    <x v="0"/>
    <x v="0"/>
    <s v="Quarter Hour"/>
    <x v="1"/>
    <d v="2024-06-30T00:00:00"/>
    <n v="22.34"/>
    <x v="6"/>
    <s v="Y"/>
  </r>
  <r>
    <s v="Nursing Support Service CS Self-Direction"/>
    <x v="40"/>
    <x v="1"/>
    <x v="1"/>
    <s v="Quarter Hour"/>
    <x v="0"/>
    <d v="2023-06-30T00:00:00"/>
    <n v="21.48"/>
    <x v="6"/>
    <s v="Y"/>
  </r>
  <r>
    <s v="Nursing Support Service CS Self-Direction"/>
    <x v="40"/>
    <x v="1"/>
    <x v="1"/>
    <s v="Quarter Hour"/>
    <x v="1"/>
    <d v="2024-06-30T00:00:00"/>
    <n v="22.34"/>
    <x v="6"/>
    <s v="Y"/>
  </r>
  <r>
    <s v="Nursing Support Service CS Traditional"/>
    <x v="41"/>
    <x v="1"/>
    <x v="0"/>
    <s v="Quarter Hour"/>
    <x v="0"/>
    <d v="2023-06-30T00:00:00"/>
    <n v="21.48"/>
    <x v="6"/>
    <s v="Y"/>
  </r>
  <r>
    <s v="Nursing Support Service CS Traditional"/>
    <x v="41"/>
    <x v="1"/>
    <x v="0"/>
    <s v="Quarter Hour"/>
    <x v="1"/>
    <d v="2024-06-30T00:00:00"/>
    <n v="22.34"/>
    <x v="6"/>
    <s v="Y"/>
  </r>
  <r>
    <s v="Nursing Support Service FS Self-Direction"/>
    <x v="42"/>
    <x v="2"/>
    <x v="1"/>
    <s v="Quarter Hour"/>
    <x v="0"/>
    <d v="2023-06-30T00:00:00"/>
    <n v="21.48"/>
    <x v="6"/>
    <s v="Y"/>
  </r>
  <r>
    <s v="Nursing Support Service FS Self-Direction"/>
    <x v="42"/>
    <x v="2"/>
    <x v="1"/>
    <s v="Quarter Hour"/>
    <x v="1"/>
    <d v="2024-06-30T00:00:00"/>
    <n v="22.34"/>
    <x v="6"/>
    <s v="Y"/>
  </r>
  <r>
    <s v="Nursing Support Service FS Traditional"/>
    <x v="43"/>
    <x v="2"/>
    <x v="0"/>
    <s v="Quarter Hour"/>
    <x v="0"/>
    <d v="2023-06-30T00:00:00"/>
    <n v="21.48"/>
    <x v="6"/>
    <s v="Y"/>
  </r>
  <r>
    <s v="Nursing Support Service FS Traditional"/>
    <x v="43"/>
    <x v="2"/>
    <x v="0"/>
    <s v="Quarter Hour"/>
    <x v="1"/>
    <d v="2024-06-30T00:00:00"/>
    <n v="22.34"/>
    <x v="6"/>
    <s v="Y"/>
  </r>
  <r>
    <s v="Personal Supports CS Self-Direction"/>
    <x v="44"/>
    <x v="1"/>
    <x v="1"/>
    <s v="Quarter Hour"/>
    <x v="0"/>
    <d v="2023-06-30T00:00:00"/>
    <n v="10.34"/>
    <x v="7"/>
    <s v="Y"/>
  </r>
  <r>
    <s v="Personal Supports CS Self-Direction"/>
    <x v="44"/>
    <x v="1"/>
    <x v="1"/>
    <s v="Quarter Hour"/>
    <x v="1"/>
    <d v="2024-06-30T00:00:00"/>
    <n v="0"/>
    <x v="7"/>
    <s v="Y"/>
  </r>
  <r>
    <s v="Personal Supports FS Self-Direction"/>
    <x v="45"/>
    <x v="2"/>
    <x v="1"/>
    <s v="Quarter Hour"/>
    <x v="0"/>
    <d v="2023-06-30T00:00:00"/>
    <n v="10.34"/>
    <x v="7"/>
    <s v="Y"/>
  </r>
  <r>
    <s v="Personal Supports FS Self-Direction"/>
    <x v="45"/>
    <x v="2"/>
    <x v="1"/>
    <s v="Quarter Hour"/>
    <x v="1"/>
    <d v="2024-06-30T00:00:00"/>
    <n v="0"/>
    <x v="7"/>
    <s v="Y"/>
  </r>
  <r>
    <s v="Respite Care Services - Day CP Traditional"/>
    <x v="46"/>
    <x v="0"/>
    <x v="0"/>
    <s v="Day"/>
    <x v="0"/>
    <d v="2023-06-30T00:00:00"/>
    <n v="450.42"/>
    <x v="8"/>
    <s v="Y"/>
  </r>
  <r>
    <s v="Respite Care Services - Day CP Traditional"/>
    <x v="46"/>
    <x v="0"/>
    <x v="0"/>
    <s v="Day"/>
    <x v="1"/>
    <d v="2024-06-30T00:00:00"/>
    <n v="468.44"/>
    <x v="8"/>
    <s v="Y"/>
  </r>
  <r>
    <s v="Respite Care Services - Day CS Self-Direction"/>
    <x v="47"/>
    <x v="1"/>
    <x v="1"/>
    <s v="Day"/>
    <x v="0"/>
    <d v="2023-06-30T00:00:00"/>
    <n v="450.42"/>
    <x v="8"/>
    <s v="Y"/>
  </r>
  <r>
    <s v="Respite Care Services - Day CS Self-Direction"/>
    <x v="47"/>
    <x v="1"/>
    <x v="1"/>
    <s v="Day"/>
    <x v="1"/>
    <d v="2024-06-30T00:00:00"/>
    <n v="468.44"/>
    <x v="8"/>
    <s v="Y"/>
  </r>
  <r>
    <s v="Respite Care Services - Day CS Traditional"/>
    <x v="48"/>
    <x v="1"/>
    <x v="0"/>
    <s v="Day"/>
    <x v="0"/>
    <d v="2023-06-30T00:00:00"/>
    <n v="450.42"/>
    <x v="8"/>
    <s v="Y"/>
  </r>
  <r>
    <s v="Respite Care Services - Day CS Traditional"/>
    <x v="48"/>
    <x v="1"/>
    <x v="0"/>
    <s v="Day"/>
    <x v="1"/>
    <d v="2024-06-30T00:00:00"/>
    <n v="468.44"/>
    <x v="8"/>
    <s v="Y"/>
  </r>
  <r>
    <s v="Respite Care Services - Day FS Self-Direction"/>
    <x v="49"/>
    <x v="2"/>
    <x v="1"/>
    <s v="Day"/>
    <x v="0"/>
    <d v="2023-06-30T00:00:00"/>
    <n v="450.42"/>
    <x v="8"/>
    <s v="Y"/>
  </r>
  <r>
    <s v="Respite Care Services - Day FS Self-Direction"/>
    <x v="49"/>
    <x v="2"/>
    <x v="1"/>
    <s v="Day"/>
    <x v="1"/>
    <d v="2024-06-30T00:00:00"/>
    <n v="468.44"/>
    <x v="8"/>
    <s v="Y"/>
  </r>
  <r>
    <s v="Respite Care Services - Day FS Traditional"/>
    <x v="50"/>
    <x v="2"/>
    <x v="0"/>
    <s v="Day"/>
    <x v="0"/>
    <d v="2023-06-30T00:00:00"/>
    <n v="450.42"/>
    <x v="8"/>
    <s v="Y"/>
  </r>
  <r>
    <s v="Respite Care Services - Day FS Traditional"/>
    <x v="50"/>
    <x v="2"/>
    <x v="0"/>
    <s v="Day"/>
    <x v="1"/>
    <d v="2024-06-30T00:00:00"/>
    <n v="468.44"/>
    <x v="8"/>
    <s v="Y"/>
  </r>
  <r>
    <s v="Respite Care Services - Hour CP Self-Direction"/>
    <x v="51"/>
    <x v="0"/>
    <x v="1"/>
    <s v="Hour"/>
    <x v="0"/>
    <d v="2023-06-30T00:00:00"/>
    <n v="32.340000000000003"/>
    <x v="8"/>
    <s v="Y"/>
  </r>
  <r>
    <s v="Respite Care Services - Hour CP Self-Direction"/>
    <x v="51"/>
    <x v="0"/>
    <x v="1"/>
    <s v="Hour"/>
    <x v="1"/>
    <d v="2024-06-30T00:00:00"/>
    <n v="33.630000000000003"/>
    <x v="8"/>
    <s v="Y"/>
  </r>
  <r>
    <s v="Respite Care Services - Hour CP Traditional"/>
    <x v="52"/>
    <x v="0"/>
    <x v="0"/>
    <s v="Hour"/>
    <x v="0"/>
    <d v="2023-06-30T00:00:00"/>
    <n v="32.340000000000003"/>
    <x v="8"/>
    <s v="Y"/>
  </r>
  <r>
    <s v="Respite Care Services - Hour CP Traditional"/>
    <x v="52"/>
    <x v="0"/>
    <x v="0"/>
    <s v="Hour"/>
    <x v="1"/>
    <d v="2024-06-30T00:00:00"/>
    <n v="33.630000000000003"/>
    <x v="8"/>
    <s v="Y"/>
  </r>
  <r>
    <s v="Respite Care Services - Hour CS Self-Direction"/>
    <x v="53"/>
    <x v="1"/>
    <x v="1"/>
    <s v="Hour"/>
    <x v="0"/>
    <d v="2023-06-30T00:00:00"/>
    <n v="32.340000000000003"/>
    <x v="8"/>
    <s v="Y"/>
  </r>
  <r>
    <s v="Respite Care Services - Hour CS Self-Direction"/>
    <x v="53"/>
    <x v="1"/>
    <x v="1"/>
    <s v="Hour"/>
    <x v="1"/>
    <d v="2024-06-30T00:00:00"/>
    <n v="33.630000000000003"/>
    <x v="8"/>
    <s v="Y"/>
  </r>
  <r>
    <s v="Respite Care Services - Hour CS Traditional"/>
    <x v="54"/>
    <x v="1"/>
    <x v="0"/>
    <s v="Hour"/>
    <x v="0"/>
    <d v="2023-06-30T00:00:00"/>
    <n v="32.340000000000003"/>
    <x v="8"/>
    <s v="Y"/>
  </r>
  <r>
    <s v="Respite Care Services - Hour CS Traditional"/>
    <x v="54"/>
    <x v="1"/>
    <x v="0"/>
    <s v="Hour"/>
    <x v="1"/>
    <d v="2024-06-30T00:00:00"/>
    <n v="33.630000000000003"/>
    <x v="8"/>
    <s v="Y"/>
  </r>
  <r>
    <s v="Respite Care Services - Hour FS Self-Direction"/>
    <x v="55"/>
    <x v="2"/>
    <x v="1"/>
    <s v="Hour"/>
    <x v="0"/>
    <d v="2023-06-30T00:00:00"/>
    <n v="32.340000000000003"/>
    <x v="8"/>
    <s v="Y"/>
  </r>
  <r>
    <s v="Respite Care Services - Hour FS Self-Direction"/>
    <x v="55"/>
    <x v="2"/>
    <x v="1"/>
    <s v="Hour"/>
    <x v="1"/>
    <d v="2024-06-30T00:00:00"/>
    <n v="33.630000000000003"/>
    <x v="8"/>
    <s v="Y"/>
  </r>
  <r>
    <s v="Respite Care Services - Hour FS Traditional"/>
    <x v="56"/>
    <x v="2"/>
    <x v="0"/>
    <s v="Hour"/>
    <x v="0"/>
    <d v="2023-06-30T00:00:00"/>
    <n v="32.340000000000003"/>
    <x v="8"/>
    <s v="Y"/>
  </r>
  <r>
    <s v="Respite Care Services - Hour FS Traditional"/>
    <x v="56"/>
    <x v="2"/>
    <x v="0"/>
    <s v="Hour"/>
    <x v="1"/>
    <d v="2024-06-30T00:00:00"/>
    <n v="33.630000000000003"/>
    <x v="8"/>
    <s v="Y"/>
  </r>
  <r>
    <s v="Supported Employment CS Self-Direction"/>
    <x v="57"/>
    <x v="1"/>
    <x v="1"/>
    <s v="Day"/>
    <x v="0"/>
    <d v="2023-06-30T00:00:00"/>
    <n v="1089"/>
    <x v="2"/>
    <s v="Y"/>
  </r>
  <r>
    <s v="Supported Employment CS Self-Direction"/>
    <x v="57"/>
    <x v="1"/>
    <x v="1"/>
    <s v="Day"/>
    <x v="1"/>
    <d v="2024-06-30T00:00:00"/>
    <n v="1133"/>
    <x v="2"/>
    <s v="Y"/>
  </r>
  <r>
    <s v="Supported Living CP Self-Direction"/>
    <x v="58"/>
    <x v="0"/>
    <x v="0"/>
    <s v="Day"/>
    <x v="0"/>
    <d v="2023-06-30T00:00:00"/>
    <n v="2330"/>
    <x v="9"/>
    <s v="Y"/>
  </r>
  <r>
    <s v="Supported Living CP Self-Direction"/>
    <x v="58"/>
    <x v="0"/>
    <x v="0"/>
    <s v="Day"/>
    <x v="1"/>
    <d v="2024-06-30T00:00:00"/>
    <n v="2423"/>
    <x v="9"/>
    <s v="Y"/>
  </r>
  <r>
    <s v="Supported Living CP Traditional"/>
    <x v="59"/>
    <x v="0"/>
    <x v="0"/>
    <s v="Day"/>
    <x v="0"/>
    <d v="2023-06-30T00:00:00"/>
    <n v="2330"/>
    <x v="9"/>
    <s v="Y"/>
  </r>
  <r>
    <s v="Supported Living CP Traditional"/>
    <x v="59"/>
    <x v="0"/>
    <x v="0"/>
    <s v="Day"/>
    <x v="1"/>
    <d v="2024-06-30T00:00:00"/>
    <n v="2423"/>
    <x v="9"/>
    <s v="Y"/>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0">
  <r>
    <d v="2023-07-01T00:00:00"/>
    <s v="D11"/>
    <s v="D"/>
    <x v="0"/>
    <x v="0"/>
    <x v="0"/>
    <n v="1"/>
    <n v="28.8"/>
    <x v="0"/>
  </r>
  <r>
    <d v="2023-07-01T00:00:00"/>
    <s v="D11"/>
    <s v="D"/>
    <x v="0"/>
    <x v="0"/>
    <x v="1"/>
    <n v="1.0789"/>
    <n v="31.07"/>
    <x v="0"/>
  </r>
  <r>
    <d v="2023-07-01T00:00:00"/>
    <s v="D11"/>
    <s v="D"/>
    <x v="0"/>
    <x v="0"/>
    <x v="2"/>
    <n v="1"/>
    <n v="28.8"/>
    <x v="0"/>
  </r>
  <r>
    <d v="2023-07-01T00:00:00"/>
    <s v="D11"/>
    <s v="D"/>
    <x v="0"/>
    <x v="0"/>
    <x v="3"/>
    <n v="1"/>
    <n v="28.8"/>
    <x v="0"/>
  </r>
  <r>
    <d v="2023-07-01T00:00:00"/>
    <s v="D11"/>
    <s v="D"/>
    <x v="0"/>
    <x v="0"/>
    <x v="4"/>
    <n v="1.0629"/>
    <n v="30.61"/>
    <x v="0"/>
  </r>
  <r>
    <d v="2023-07-01T00:00:00"/>
    <s v="D11"/>
    <s v="D"/>
    <x v="0"/>
    <x v="0"/>
    <x v="5"/>
    <n v="1"/>
    <n v="28.8"/>
    <x v="0"/>
  </r>
  <r>
    <d v="2023-07-01T00:00:00"/>
    <s v="D12"/>
    <s v="D"/>
    <x v="0"/>
    <x v="1"/>
    <x v="0"/>
    <n v="1"/>
    <n v="31.78"/>
    <x v="0"/>
  </r>
  <r>
    <d v="2023-07-01T00:00:00"/>
    <s v="D12"/>
    <s v="D"/>
    <x v="0"/>
    <x v="1"/>
    <x v="1"/>
    <n v="1.0789"/>
    <n v="34.29"/>
    <x v="0"/>
  </r>
  <r>
    <d v="2023-07-01T00:00:00"/>
    <s v="D12"/>
    <s v="D"/>
    <x v="0"/>
    <x v="1"/>
    <x v="2"/>
    <n v="1"/>
    <n v="31.78"/>
    <x v="0"/>
  </r>
  <r>
    <d v="2023-07-01T00:00:00"/>
    <s v="D12"/>
    <s v="D"/>
    <x v="0"/>
    <x v="1"/>
    <x v="3"/>
    <n v="1"/>
    <n v="31.78"/>
    <x v="0"/>
  </r>
  <r>
    <d v="2023-07-01T00:00:00"/>
    <s v="D12"/>
    <s v="D"/>
    <x v="0"/>
    <x v="1"/>
    <x v="4"/>
    <n v="1.0629"/>
    <n v="33.78"/>
    <x v="0"/>
  </r>
  <r>
    <d v="2023-07-01T00:00:00"/>
    <s v="D12"/>
    <s v="D"/>
    <x v="0"/>
    <x v="1"/>
    <x v="5"/>
    <n v="1"/>
    <n v="31.78"/>
    <x v="0"/>
  </r>
  <r>
    <d v="2023-07-01T00:00:00"/>
    <s v="D13"/>
    <s v="D"/>
    <x v="0"/>
    <x v="2"/>
    <x v="0"/>
    <n v="1"/>
    <n v="36.64"/>
    <x v="0"/>
  </r>
  <r>
    <d v="2023-07-01T00:00:00"/>
    <s v="D13"/>
    <s v="D"/>
    <x v="0"/>
    <x v="2"/>
    <x v="1"/>
    <n v="1.0789"/>
    <n v="39.53"/>
    <x v="0"/>
  </r>
  <r>
    <d v="2023-07-01T00:00:00"/>
    <s v="D13"/>
    <s v="D"/>
    <x v="0"/>
    <x v="2"/>
    <x v="2"/>
    <n v="1"/>
    <n v="36.64"/>
    <x v="0"/>
  </r>
  <r>
    <d v="2023-07-01T00:00:00"/>
    <s v="D13"/>
    <s v="D"/>
    <x v="0"/>
    <x v="2"/>
    <x v="3"/>
    <n v="1"/>
    <n v="36.64"/>
    <x v="0"/>
  </r>
  <r>
    <d v="2023-07-01T00:00:00"/>
    <s v="D13"/>
    <s v="D"/>
    <x v="0"/>
    <x v="2"/>
    <x v="4"/>
    <n v="1.0629"/>
    <n v="38.94"/>
    <x v="0"/>
  </r>
  <r>
    <d v="2023-07-01T00:00:00"/>
    <s v="D13"/>
    <s v="D"/>
    <x v="0"/>
    <x v="2"/>
    <x v="5"/>
    <n v="1"/>
    <n v="36.64"/>
    <x v="0"/>
  </r>
  <r>
    <d v="2023-07-01T00:00:00"/>
    <s v="D14"/>
    <s v="D"/>
    <x v="0"/>
    <x v="3"/>
    <x v="0"/>
    <n v="1"/>
    <n v="43.22"/>
    <x v="0"/>
  </r>
  <r>
    <d v="2023-07-01T00:00:00"/>
    <s v="D14"/>
    <s v="D"/>
    <x v="0"/>
    <x v="3"/>
    <x v="1"/>
    <n v="1.0789"/>
    <n v="46.63"/>
    <x v="0"/>
  </r>
  <r>
    <d v="2023-07-01T00:00:00"/>
    <s v="D14"/>
    <s v="D"/>
    <x v="0"/>
    <x v="3"/>
    <x v="2"/>
    <n v="1"/>
    <n v="43.22"/>
    <x v="0"/>
  </r>
  <r>
    <d v="2023-07-01T00:00:00"/>
    <s v="D14"/>
    <s v="D"/>
    <x v="0"/>
    <x v="3"/>
    <x v="3"/>
    <n v="1"/>
    <n v="43.22"/>
    <x v="0"/>
  </r>
  <r>
    <d v="2023-07-01T00:00:00"/>
    <s v="D14"/>
    <s v="D"/>
    <x v="0"/>
    <x v="3"/>
    <x v="4"/>
    <n v="1.0629"/>
    <n v="45.94"/>
    <x v="0"/>
  </r>
  <r>
    <d v="2023-07-01T00:00:00"/>
    <s v="D14"/>
    <s v="D"/>
    <x v="0"/>
    <x v="3"/>
    <x v="5"/>
    <n v="1"/>
    <n v="43.22"/>
    <x v="0"/>
  </r>
  <r>
    <d v="2023-07-01T00:00:00"/>
    <s v="D15"/>
    <s v="D"/>
    <x v="0"/>
    <x v="4"/>
    <x v="0"/>
    <n v="1"/>
    <n v="48.98"/>
    <x v="0"/>
  </r>
  <r>
    <d v="2023-07-01T00:00:00"/>
    <s v="D15"/>
    <s v="D"/>
    <x v="0"/>
    <x v="4"/>
    <x v="1"/>
    <n v="1.0789"/>
    <n v="52.84"/>
    <x v="0"/>
  </r>
  <r>
    <d v="2023-07-01T00:00:00"/>
    <s v="D15"/>
    <s v="D"/>
    <x v="0"/>
    <x v="4"/>
    <x v="2"/>
    <n v="1"/>
    <n v="48.98"/>
    <x v="0"/>
  </r>
  <r>
    <d v="2023-07-01T00:00:00"/>
    <s v="D15"/>
    <s v="D"/>
    <x v="0"/>
    <x v="4"/>
    <x v="3"/>
    <n v="1"/>
    <n v="48.98"/>
    <x v="0"/>
  </r>
  <r>
    <d v="2023-07-01T00:00:00"/>
    <s v="D15"/>
    <s v="D"/>
    <x v="0"/>
    <x v="4"/>
    <x v="4"/>
    <n v="1.0629"/>
    <n v="52.06"/>
    <x v="0"/>
  </r>
  <r>
    <d v="2023-07-01T00:00:00"/>
    <s v="D15"/>
    <s v="D"/>
    <x v="0"/>
    <x v="4"/>
    <x v="5"/>
    <n v="1"/>
    <n v="48.98"/>
    <x v="0"/>
  </r>
  <r>
    <d v="2023-07-01T00:00:00"/>
    <s v="D21"/>
    <s v="D"/>
    <x v="1"/>
    <x v="0"/>
    <x v="0"/>
    <n v="1"/>
    <n v="34.409999999999997"/>
    <x v="0"/>
  </r>
  <r>
    <d v="2023-07-01T00:00:00"/>
    <s v="D21"/>
    <s v="D"/>
    <x v="1"/>
    <x v="0"/>
    <x v="1"/>
    <n v="1.0789"/>
    <n v="37.119999999999997"/>
    <x v="0"/>
  </r>
  <r>
    <d v="2023-07-01T00:00:00"/>
    <s v="D21"/>
    <s v="D"/>
    <x v="1"/>
    <x v="0"/>
    <x v="2"/>
    <n v="1"/>
    <n v="34.409999999999997"/>
    <x v="0"/>
  </r>
  <r>
    <d v="2023-07-01T00:00:00"/>
    <s v="D21"/>
    <s v="D"/>
    <x v="1"/>
    <x v="0"/>
    <x v="3"/>
    <n v="1"/>
    <n v="34.409999999999997"/>
    <x v="0"/>
  </r>
  <r>
    <d v="2023-07-01T00:00:00"/>
    <s v="D21"/>
    <s v="D"/>
    <x v="1"/>
    <x v="0"/>
    <x v="4"/>
    <n v="1.0629"/>
    <n v="36.57"/>
    <x v="0"/>
  </r>
  <r>
    <d v="2023-07-01T00:00:00"/>
    <s v="D21"/>
    <s v="D"/>
    <x v="1"/>
    <x v="0"/>
    <x v="5"/>
    <n v="1"/>
    <n v="34.409999999999997"/>
    <x v="0"/>
  </r>
  <r>
    <d v="2023-07-01T00:00:00"/>
    <s v="D22"/>
    <s v="D"/>
    <x v="1"/>
    <x v="1"/>
    <x v="0"/>
    <n v="1"/>
    <n v="37.39"/>
    <x v="0"/>
  </r>
  <r>
    <d v="2023-07-01T00:00:00"/>
    <s v="D22"/>
    <s v="D"/>
    <x v="1"/>
    <x v="1"/>
    <x v="1"/>
    <n v="1.0789"/>
    <n v="40.340000000000003"/>
    <x v="0"/>
  </r>
  <r>
    <d v="2023-07-01T00:00:00"/>
    <s v="D22"/>
    <s v="D"/>
    <x v="1"/>
    <x v="1"/>
    <x v="2"/>
    <n v="1"/>
    <n v="37.39"/>
    <x v="0"/>
  </r>
  <r>
    <d v="2023-07-01T00:00:00"/>
    <s v="D22"/>
    <s v="D"/>
    <x v="1"/>
    <x v="1"/>
    <x v="3"/>
    <n v="1"/>
    <n v="37.39"/>
    <x v="0"/>
  </r>
  <r>
    <d v="2023-07-01T00:00:00"/>
    <s v="D22"/>
    <s v="D"/>
    <x v="1"/>
    <x v="1"/>
    <x v="4"/>
    <n v="1.0629"/>
    <n v="39.74"/>
    <x v="0"/>
  </r>
  <r>
    <d v="2023-07-01T00:00:00"/>
    <s v="D22"/>
    <s v="D"/>
    <x v="1"/>
    <x v="1"/>
    <x v="5"/>
    <n v="1"/>
    <n v="37.39"/>
    <x v="0"/>
  </r>
  <r>
    <d v="2023-07-01T00:00:00"/>
    <s v="D23"/>
    <s v="D"/>
    <x v="1"/>
    <x v="2"/>
    <x v="0"/>
    <n v="1"/>
    <n v="42.28"/>
    <x v="0"/>
  </r>
  <r>
    <d v="2023-07-01T00:00:00"/>
    <s v="D23"/>
    <s v="D"/>
    <x v="1"/>
    <x v="2"/>
    <x v="1"/>
    <n v="1.0789"/>
    <n v="45.62"/>
    <x v="0"/>
  </r>
  <r>
    <d v="2023-07-01T00:00:00"/>
    <s v="D23"/>
    <s v="D"/>
    <x v="1"/>
    <x v="2"/>
    <x v="2"/>
    <n v="1"/>
    <n v="42.28"/>
    <x v="0"/>
  </r>
  <r>
    <d v="2023-07-01T00:00:00"/>
    <s v="D23"/>
    <s v="D"/>
    <x v="1"/>
    <x v="2"/>
    <x v="3"/>
    <n v="1"/>
    <n v="42.28"/>
    <x v="0"/>
  </r>
  <r>
    <d v="2023-07-01T00:00:00"/>
    <s v="D23"/>
    <s v="D"/>
    <x v="1"/>
    <x v="2"/>
    <x v="4"/>
    <n v="1.0629"/>
    <n v="44.94"/>
    <x v="0"/>
  </r>
  <r>
    <d v="2023-07-01T00:00:00"/>
    <s v="D23"/>
    <s v="D"/>
    <x v="1"/>
    <x v="2"/>
    <x v="5"/>
    <n v="1"/>
    <n v="42.28"/>
    <x v="0"/>
  </r>
  <r>
    <d v="2023-07-01T00:00:00"/>
    <s v="D24"/>
    <s v="D"/>
    <x v="1"/>
    <x v="3"/>
    <x v="0"/>
    <n v="1"/>
    <n v="48.78"/>
    <x v="0"/>
  </r>
  <r>
    <d v="2023-07-01T00:00:00"/>
    <s v="D24"/>
    <s v="D"/>
    <x v="1"/>
    <x v="3"/>
    <x v="1"/>
    <n v="1.0789"/>
    <n v="52.63"/>
    <x v="0"/>
  </r>
  <r>
    <d v="2023-07-01T00:00:00"/>
    <s v="D24"/>
    <s v="D"/>
    <x v="1"/>
    <x v="3"/>
    <x v="2"/>
    <n v="1"/>
    <n v="48.78"/>
    <x v="0"/>
  </r>
  <r>
    <d v="2023-07-01T00:00:00"/>
    <s v="D24"/>
    <s v="D"/>
    <x v="1"/>
    <x v="3"/>
    <x v="3"/>
    <n v="1"/>
    <n v="48.78"/>
    <x v="0"/>
  </r>
  <r>
    <d v="2023-07-01T00:00:00"/>
    <s v="D24"/>
    <s v="D"/>
    <x v="1"/>
    <x v="3"/>
    <x v="4"/>
    <n v="1.0629"/>
    <n v="51.85"/>
    <x v="0"/>
  </r>
  <r>
    <d v="2023-07-01T00:00:00"/>
    <s v="D24"/>
    <s v="D"/>
    <x v="1"/>
    <x v="3"/>
    <x v="5"/>
    <n v="1"/>
    <n v="48.78"/>
    <x v="0"/>
  </r>
  <r>
    <d v="2023-07-01T00:00:00"/>
    <s v="D25"/>
    <s v="D"/>
    <x v="1"/>
    <x v="4"/>
    <x v="0"/>
    <n v="1"/>
    <n v="54.56"/>
    <x v="0"/>
  </r>
  <r>
    <d v="2023-07-01T00:00:00"/>
    <s v="D25"/>
    <s v="D"/>
    <x v="1"/>
    <x v="4"/>
    <x v="1"/>
    <n v="1.0789"/>
    <n v="58.86"/>
    <x v="0"/>
  </r>
  <r>
    <d v="2023-07-01T00:00:00"/>
    <s v="D25"/>
    <s v="D"/>
    <x v="1"/>
    <x v="4"/>
    <x v="2"/>
    <n v="1"/>
    <n v="54.56"/>
    <x v="0"/>
  </r>
  <r>
    <d v="2023-07-01T00:00:00"/>
    <s v="D25"/>
    <s v="D"/>
    <x v="1"/>
    <x v="4"/>
    <x v="3"/>
    <n v="1"/>
    <n v="54.56"/>
    <x v="0"/>
  </r>
  <r>
    <d v="2023-07-01T00:00:00"/>
    <s v="D25"/>
    <s v="D"/>
    <x v="1"/>
    <x v="4"/>
    <x v="4"/>
    <n v="1.0629"/>
    <n v="57.99"/>
    <x v="0"/>
  </r>
  <r>
    <d v="2023-07-01T00:00:00"/>
    <s v="D25"/>
    <s v="D"/>
    <x v="1"/>
    <x v="4"/>
    <x v="5"/>
    <n v="1"/>
    <n v="54.56"/>
    <x v="0"/>
  </r>
  <r>
    <d v="2023-07-01T00:00:00"/>
    <s v="D31"/>
    <s v="D"/>
    <x v="2"/>
    <x v="0"/>
    <x v="0"/>
    <n v="1"/>
    <n v="45.32"/>
    <x v="0"/>
  </r>
  <r>
    <d v="2023-07-01T00:00:00"/>
    <s v="D31"/>
    <s v="D"/>
    <x v="2"/>
    <x v="0"/>
    <x v="1"/>
    <n v="1.0789"/>
    <n v="48.9"/>
    <x v="0"/>
  </r>
  <r>
    <d v="2023-07-01T00:00:00"/>
    <s v="D31"/>
    <s v="D"/>
    <x v="2"/>
    <x v="0"/>
    <x v="2"/>
    <n v="1"/>
    <n v="45.32"/>
    <x v="0"/>
  </r>
  <r>
    <d v="2023-07-01T00:00:00"/>
    <s v="D31"/>
    <s v="D"/>
    <x v="2"/>
    <x v="0"/>
    <x v="3"/>
    <n v="1"/>
    <n v="45.32"/>
    <x v="0"/>
  </r>
  <r>
    <d v="2023-07-01T00:00:00"/>
    <s v="D31"/>
    <s v="D"/>
    <x v="2"/>
    <x v="0"/>
    <x v="4"/>
    <n v="1.0629"/>
    <n v="48.17"/>
    <x v="0"/>
  </r>
  <r>
    <d v="2023-07-01T00:00:00"/>
    <s v="D31"/>
    <s v="D"/>
    <x v="2"/>
    <x v="0"/>
    <x v="5"/>
    <n v="1"/>
    <n v="45.32"/>
    <x v="0"/>
  </r>
  <r>
    <d v="2023-07-01T00:00:00"/>
    <s v="D32"/>
    <s v="D"/>
    <x v="2"/>
    <x v="1"/>
    <x v="0"/>
    <n v="1"/>
    <n v="48.34"/>
    <x v="0"/>
  </r>
  <r>
    <d v="2023-07-01T00:00:00"/>
    <s v="D32"/>
    <s v="D"/>
    <x v="2"/>
    <x v="1"/>
    <x v="1"/>
    <n v="1.0789"/>
    <n v="52.15"/>
    <x v="0"/>
  </r>
  <r>
    <d v="2023-07-01T00:00:00"/>
    <s v="D32"/>
    <s v="D"/>
    <x v="2"/>
    <x v="1"/>
    <x v="2"/>
    <n v="1"/>
    <n v="48.34"/>
    <x v="0"/>
  </r>
  <r>
    <d v="2023-07-01T00:00:00"/>
    <s v="D32"/>
    <s v="D"/>
    <x v="2"/>
    <x v="1"/>
    <x v="3"/>
    <n v="1"/>
    <n v="48.34"/>
    <x v="0"/>
  </r>
  <r>
    <d v="2023-07-01T00:00:00"/>
    <s v="D32"/>
    <s v="D"/>
    <x v="2"/>
    <x v="1"/>
    <x v="4"/>
    <n v="1.0629"/>
    <n v="51.38"/>
    <x v="0"/>
  </r>
  <r>
    <d v="2023-07-01T00:00:00"/>
    <s v="D32"/>
    <s v="D"/>
    <x v="2"/>
    <x v="1"/>
    <x v="5"/>
    <n v="1"/>
    <n v="48.34"/>
    <x v="0"/>
  </r>
  <r>
    <d v="2023-07-01T00:00:00"/>
    <s v="D33"/>
    <s v="D"/>
    <x v="2"/>
    <x v="2"/>
    <x v="0"/>
    <n v="1"/>
    <n v="53.2"/>
    <x v="0"/>
  </r>
  <r>
    <d v="2023-07-01T00:00:00"/>
    <s v="D33"/>
    <s v="D"/>
    <x v="2"/>
    <x v="2"/>
    <x v="1"/>
    <n v="1.0789"/>
    <n v="57.4"/>
    <x v="0"/>
  </r>
  <r>
    <d v="2023-07-01T00:00:00"/>
    <s v="D33"/>
    <s v="D"/>
    <x v="2"/>
    <x v="2"/>
    <x v="2"/>
    <n v="1"/>
    <n v="53.2"/>
    <x v="0"/>
  </r>
  <r>
    <d v="2023-07-01T00:00:00"/>
    <s v="D33"/>
    <s v="D"/>
    <x v="2"/>
    <x v="2"/>
    <x v="3"/>
    <n v="1"/>
    <n v="53.2"/>
    <x v="0"/>
  </r>
  <r>
    <d v="2023-07-01T00:00:00"/>
    <s v="D33"/>
    <s v="D"/>
    <x v="2"/>
    <x v="2"/>
    <x v="4"/>
    <n v="1.0629"/>
    <n v="56.55"/>
    <x v="0"/>
  </r>
  <r>
    <d v="2023-07-01T00:00:00"/>
    <s v="D33"/>
    <s v="D"/>
    <x v="2"/>
    <x v="2"/>
    <x v="5"/>
    <n v="1"/>
    <n v="53.2"/>
    <x v="0"/>
  </r>
  <r>
    <d v="2023-07-01T00:00:00"/>
    <s v="D34"/>
    <s v="D"/>
    <x v="2"/>
    <x v="3"/>
    <x v="0"/>
    <n v="1"/>
    <n v="59.72"/>
    <x v="0"/>
  </r>
  <r>
    <d v="2023-07-01T00:00:00"/>
    <s v="D34"/>
    <s v="D"/>
    <x v="2"/>
    <x v="3"/>
    <x v="1"/>
    <n v="1.0789"/>
    <n v="64.430000000000007"/>
    <x v="0"/>
  </r>
  <r>
    <d v="2023-07-01T00:00:00"/>
    <s v="D34"/>
    <s v="D"/>
    <x v="2"/>
    <x v="3"/>
    <x v="2"/>
    <n v="1"/>
    <n v="59.72"/>
    <x v="0"/>
  </r>
  <r>
    <d v="2023-07-01T00:00:00"/>
    <s v="D34"/>
    <s v="D"/>
    <x v="2"/>
    <x v="3"/>
    <x v="3"/>
    <n v="1"/>
    <n v="59.72"/>
    <x v="0"/>
  </r>
  <r>
    <d v="2023-07-01T00:00:00"/>
    <s v="D34"/>
    <s v="D"/>
    <x v="2"/>
    <x v="3"/>
    <x v="4"/>
    <n v="1.0629"/>
    <n v="63.48"/>
    <x v="0"/>
  </r>
  <r>
    <d v="2023-07-01T00:00:00"/>
    <s v="D34"/>
    <s v="D"/>
    <x v="2"/>
    <x v="3"/>
    <x v="5"/>
    <n v="1"/>
    <n v="59.72"/>
    <x v="0"/>
  </r>
  <r>
    <d v="2023-07-01T00:00:00"/>
    <s v="D35"/>
    <s v="D"/>
    <x v="2"/>
    <x v="4"/>
    <x v="0"/>
    <n v="1"/>
    <n v="65.489999999999995"/>
    <x v="0"/>
  </r>
  <r>
    <d v="2023-07-01T00:00:00"/>
    <s v="D35"/>
    <s v="D"/>
    <x v="2"/>
    <x v="4"/>
    <x v="1"/>
    <n v="1.0789"/>
    <n v="70.66"/>
    <x v="0"/>
  </r>
  <r>
    <d v="2023-07-01T00:00:00"/>
    <s v="D35"/>
    <s v="D"/>
    <x v="2"/>
    <x v="4"/>
    <x v="2"/>
    <n v="1"/>
    <n v="65.489999999999995"/>
    <x v="0"/>
  </r>
  <r>
    <d v="2023-07-01T00:00:00"/>
    <s v="D35"/>
    <s v="D"/>
    <x v="2"/>
    <x v="4"/>
    <x v="3"/>
    <n v="1"/>
    <n v="65.489999999999995"/>
    <x v="0"/>
  </r>
  <r>
    <d v="2023-07-01T00:00:00"/>
    <s v="D35"/>
    <s v="D"/>
    <x v="2"/>
    <x v="4"/>
    <x v="4"/>
    <n v="1.0629"/>
    <n v="69.61"/>
    <x v="0"/>
  </r>
  <r>
    <d v="2023-07-01T00:00:00"/>
    <s v="D35"/>
    <s v="D"/>
    <x v="2"/>
    <x v="4"/>
    <x v="5"/>
    <n v="1"/>
    <n v="65.489999999999995"/>
    <x v="0"/>
  </r>
  <r>
    <d v="2023-07-01T00:00:00"/>
    <s v="D41"/>
    <s v="D"/>
    <x v="3"/>
    <x v="0"/>
    <x v="0"/>
    <n v="1"/>
    <n v="56.54"/>
    <x v="0"/>
  </r>
  <r>
    <d v="2023-07-01T00:00:00"/>
    <s v="D41"/>
    <s v="D"/>
    <x v="3"/>
    <x v="0"/>
    <x v="1"/>
    <n v="1.0789"/>
    <n v="61"/>
    <x v="0"/>
  </r>
  <r>
    <d v="2023-07-01T00:00:00"/>
    <s v="D41"/>
    <s v="D"/>
    <x v="3"/>
    <x v="0"/>
    <x v="2"/>
    <n v="1"/>
    <n v="56.54"/>
    <x v="0"/>
  </r>
  <r>
    <d v="2023-07-01T00:00:00"/>
    <s v="D41"/>
    <s v="D"/>
    <x v="3"/>
    <x v="0"/>
    <x v="3"/>
    <n v="1"/>
    <n v="56.54"/>
    <x v="0"/>
  </r>
  <r>
    <d v="2023-07-01T00:00:00"/>
    <s v="D41"/>
    <s v="D"/>
    <x v="3"/>
    <x v="0"/>
    <x v="4"/>
    <n v="1.0629"/>
    <n v="60.1"/>
    <x v="0"/>
  </r>
  <r>
    <d v="2023-07-01T00:00:00"/>
    <s v="D41"/>
    <s v="D"/>
    <x v="3"/>
    <x v="0"/>
    <x v="5"/>
    <n v="1"/>
    <n v="56.54"/>
    <x v="0"/>
  </r>
  <r>
    <d v="2023-07-01T00:00:00"/>
    <s v="D42"/>
    <s v="D"/>
    <x v="3"/>
    <x v="1"/>
    <x v="0"/>
    <n v="1"/>
    <n v="59.56"/>
    <x v="0"/>
  </r>
  <r>
    <d v="2023-07-01T00:00:00"/>
    <s v="D42"/>
    <s v="D"/>
    <x v="3"/>
    <x v="1"/>
    <x v="1"/>
    <n v="1.0789"/>
    <n v="64.260000000000005"/>
    <x v="0"/>
  </r>
  <r>
    <d v="2023-07-01T00:00:00"/>
    <s v="D42"/>
    <s v="D"/>
    <x v="3"/>
    <x v="1"/>
    <x v="2"/>
    <n v="1"/>
    <n v="59.56"/>
    <x v="0"/>
  </r>
  <r>
    <d v="2023-07-01T00:00:00"/>
    <s v="D42"/>
    <s v="D"/>
    <x v="3"/>
    <x v="1"/>
    <x v="3"/>
    <n v="1"/>
    <n v="59.56"/>
    <x v="0"/>
  </r>
  <r>
    <d v="2023-07-01T00:00:00"/>
    <s v="D42"/>
    <s v="D"/>
    <x v="3"/>
    <x v="1"/>
    <x v="4"/>
    <n v="1.0629"/>
    <n v="63.31"/>
    <x v="0"/>
  </r>
  <r>
    <d v="2023-07-01T00:00:00"/>
    <s v="D42"/>
    <s v="D"/>
    <x v="3"/>
    <x v="1"/>
    <x v="5"/>
    <n v="1"/>
    <n v="59.56"/>
    <x v="0"/>
  </r>
  <r>
    <d v="2023-07-01T00:00:00"/>
    <s v="D43"/>
    <s v="D"/>
    <x v="3"/>
    <x v="2"/>
    <x v="0"/>
    <n v="1"/>
    <n v="64.42"/>
    <x v="0"/>
  </r>
  <r>
    <d v="2023-07-01T00:00:00"/>
    <s v="D43"/>
    <s v="D"/>
    <x v="3"/>
    <x v="2"/>
    <x v="1"/>
    <n v="1.0789"/>
    <n v="69.5"/>
    <x v="0"/>
  </r>
  <r>
    <d v="2023-07-01T00:00:00"/>
    <s v="D43"/>
    <s v="D"/>
    <x v="3"/>
    <x v="2"/>
    <x v="2"/>
    <n v="1"/>
    <n v="64.42"/>
    <x v="0"/>
  </r>
  <r>
    <d v="2023-07-01T00:00:00"/>
    <s v="D43"/>
    <s v="D"/>
    <x v="3"/>
    <x v="2"/>
    <x v="3"/>
    <n v="1"/>
    <n v="64.42"/>
    <x v="0"/>
  </r>
  <r>
    <d v="2023-07-01T00:00:00"/>
    <s v="D43"/>
    <s v="D"/>
    <x v="3"/>
    <x v="2"/>
    <x v="4"/>
    <n v="1.0629"/>
    <n v="68.47"/>
    <x v="0"/>
  </r>
  <r>
    <d v="2023-07-01T00:00:00"/>
    <s v="D43"/>
    <s v="D"/>
    <x v="3"/>
    <x v="2"/>
    <x v="5"/>
    <n v="1"/>
    <n v="64.42"/>
    <x v="0"/>
  </r>
  <r>
    <d v="2023-07-01T00:00:00"/>
    <s v="D44"/>
    <s v="D"/>
    <x v="3"/>
    <x v="3"/>
    <x v="0"/>
    <n v="1"/>
    <n v="70.98"/>
    <x v="0"/>
  </r>
  <r>
    <d v="2023-07-01T00:00:00"/>
    <s v="D44"/>
    <s v="D"/>
    <x v="3"/>
    <x v="3"/>
    <x v="1"/>
    <n v="1.0789"/>
    <n v="76.58"/>
    <x v="0"/>
  </r>
  <r>
    <d v="2023-07-01T00:00:00"/>
    <s v="D44"/>
    <s v="D"/>
    <x v="3"/>
    <x v="3"/>
    <x v="2"/>
    <n v="1"/>
    <n v="70.98"/>
    <x v="0"/>
  </r>
  <r>
    <d v="2023-07-01T00:00:00"/>
    <s v="D44"/>
    <s v="D"/>
    <x v="3"/>
    <x v="3"/>
    <x v="3"/>
    <n v="1"/>
    <n v="70.98"/>
    <x v="0"/>
  </r>
  <r>
    <d v="2023-07-01T00:00:00"/>
    <s v="D44"/>
    <s v="D"/>
    <x v="3"/>
    <x v="3"/>
    <x v="4"/>
    <n v="1.0629"/>
    <n v="75.44"/>
    <x v="0"/>
  </r>
  <r>
    <d v="2023-07-01T00:00:00"/>
    <s v="D44"/>
    <s v="D"/>
    <x v="3"/>
    <x v="3"/>
    <x v="5"/>
    <n v="1"/>
    <n v="70.98"/>
    <x v="0"/>
  </r>
  <r>
    <d v="2023-07-01T00:00:00"/>
    <s v="D45"/>
    <s v="D"/>
    <x v="3"/>
    <x v="4"/>
    <x v="0"/>
    <n v="1"/>
    <n v="76.72"/>
    <x v="0"/>
  </r>
  <r>
    <d v="2023-07-01T00:00:00"/>
    <s v="D45"/>
    <s v="D"/>
    <x v="3"/>
    <x v="4"/>
    <x v="1"/>
    <n v="1.0789"/>
    <n v="82.77"/>
    <x v="0"/>
  </r>
  <r>
    <d v="2023-07-01T00:00:00"/>
    <s v="D45"/>
    <s v="D"/>
    <x v="3"/>
    <x v="4"/>
    <x v="2"/>
    <n v="1"/>
    <n v="76.72"/>
    <x v="0"/>
  </r>
  <r>
    <d v="2023-07-01T00:00:00"/>
    <s v="D45"/>
    <s v="D"/>
    <x v="3"/>
    <x v="4"/>
    <x v="3"/>
    <n v="1"/>
    <n v="76.72"/>
    <x v="0"/>
  </r>
  <r>
    <d v="2023-07-01T00:00:00"/>
    <s v="D45"/>
    <s v="D"/>
    <x v="3"/>
    <x v="4"/>
    <x v="4"/>
    <n v="1.0629"/>
    <n v="81.55"/>
    <x v="0"/>
  </r>
  <r>
    <d v="2023-07-01T00:00:00"/>
    <s v="D45"/>
    <s v="D"/>
    <x v="3"/>
    <x v="4"/>
    <x v="5"/>
    <n v="1"/>
    <n v="76.72"/>
    <x v="0"/>
  </r>
  <r>
    <d v="2023-07-01T00:00:00"/>
    <s v="D51"/>
    <s v="D"/>
    <x v="4"/>
    <x v="0"/>
    <x v="0"/>
    <n v="1"/>
    <n v="78.739999999999995"/>
    <x v="0"/>
  </r>
  <r>
    <d v="2023-07-01T00:00:00"/>
    <s v="D51"/>
    <s v="D"/>
    <x v="4"/>
    <x v="0"/>
    <x v="1"/>
    <n v="1.0789"/>
    <n v="84.95"/>
    <x v="0"/>
  </r>
  <r>
    <d v="2023-07-01T00:00:00"/>
    <s v="D51"/>
    <s v="D"/>
    <x v="4"/>
    <x v="0"/>
    <x v="2"/>
    <n v="1"/>
    <n v="78.739999999999995"/>
    <x v="0"/>
  </r>
  <r>
    <d v="2023-07-01T00:00:00"/>
    <s v="D51"/>
    <s v="D"/>
    <x v="4"/>
    <x v="0"/>
    <x v="3"/>
    <n v="1"/>
    <n v="78.739999999999995"/>
    <x v="0"/>
  </r>
  <r>
    <d v="2023-07-01T00:00:00"/>
    <s v="D51"/>
    <s v="D"/>
    <x v="4"/>
    <x v="0"/>
    <x v="4"/>
    <n v="1.0629"/>
    <n v="83.69"/>
    <x v="0"/>
  </r>
  <r>
    <d v="2023-07-01T00:00:00"/>
    <s v="D51"/>
    <s v="D"/>
    <x v="4"/>
    <x v="0"/>
    <x v="5"/>
    <n v="1"/>
    <n v="78.739999999999995"/>
    <x v="0"/>
  </r>
  <r>
    <d v="2023-07-01T00:00:00"/>
    <s v="D52"/>
    <s v="D"/>
    <x v="4"/>
    <x v="1"/>
    <x v="0"/>
    <n v="1"/>
    <n v="81.73"/>
    <x v="0"/>
  </r>
  <r>
    <d v="2023-07-01T00:00:00"/>
    <s v="D52"/>
    <s v="D"/>
    <x v="4"/>
    <x v="1"/>
    <x v="1"/>
    <n v="1.0789"/>
    <n v="88.18"/>
    <x v="0"/>
  </r>
  <r>
    <d v="2023-07-01T00:00:00"/>
    <s v="D52"/>
    <s v="D"/>
    <x v="4"/>
    <x v="1"/>
    <x v="2"/>
    <n v="1"/>
    <n v="81.73"/>
    <x v="0"/>
  </r>
  <r>
    <d v="2023-07-01T00:00:00"/>
    <s v="D52"/>
    <s v="D"/>
    <x v="4"/>
    <x v="1"/>
    <x v="3"/>
    <n v="1"/>
    <n v="81.73"/>
    <x v="0"/>
  </r>
  <r>
    <d v="2023-07-01T00:00:00"/>
    <s v="D52"/>
    <s v="D"/>
    <x v="4"/>
    <x v="1"/>
    <x v="4"/>
    <n v="1.0629"/>
    <n v="86.87"/>
    <x v="0"/>
  </r>
  <r>
    <d v="2023-07-01T00:00:00"/>
    <s v="D52"/>
    <s v="D"/>
    <x v="4"/>
    <x v="1"/>
    <x v="5"/>
    <n v="1"/>
    <n v="81.73"/>
    <x v="0"/>
  </r>
  <r>
    <d v="2023-07-01T00:00:00"/>
    <s v="D53"/>
    <s v="D"/>
    <x v="4"/>
    <x v="2"/>
    <x v="0"/>
    <n v="1"/>
    <n v="86.58"/>
    <x v="0"/>
  </r>
  <r>
    <d v="2023-07-01T00:00:00"/>
    <s v="D53"/>
    <s v="D"/>
    <x v="4"/>
    <x v="2"/>
    <x v="1"/>
    <n v="1.0789"/>
    <n v="93.41"/>
    <x v="0"/>
  </r>
  <r>
    <d v="2023-07-01T00:00:00"/>
    <s v="D53"/>
    <s v="D"/>
    <x v="4"/>
    <x v="2"/>
    <x v="2"/>
    <n v="1"/>
    <n v="86.58"/>
    <x v="0"/>
  </r>
  <r>
    <d v="2023-07-01T00:00:00"/>
    <s v="D53"/>
    <s v="D"/>
    <x v="4"/>
    <x v="2"/>
    <x v="3"/>
    <n v="1"/>
    <n v="86.58"/>
    <x v="0"/>
  </r>
  <r>
    <d v="2023-07-01T00:00:00"/>
    <s v="D53"/>
    <s v="D"/>
    <x v="4"/>
    <x v="2"/>
    <x v="4"/>
    <n v="1.0629"/>
    <n v="92.03"/>
    <x v="0"/>
  </r>
  <r>
    <d v="2023-07-01T00:00:00"/>
    <s v="D53"/>
    <s v="D"/>
    <x v="4"/>
    <x v="2"/>
    <x v="5"/>
    <n v="1"/>
    <n v="86.58"/>
    <x v="0"/>
  </r>
  <r>
    <d v="2023-07-01T00:00:00"/>
    <s v="D54"/>
    <s v="D"/>
    <x v="4"/>
    <x v="3"/>
    <x v="0"/>
    <n v="1"/>
    <n v="93.13"/>
    <x v="0"/>
  </r>
  <r>
    <d v="2023-07-01T00:00:00"/>
    <s v="D54"/>
    <s v="D"/>
    <x v="4"/>
    <x v="3"/>
    <x v="1"/>
    <n v="1.0789"/>
    <n v="100.48"/>
    <x v="0"/>
  </r>
  <r>
    <d v="2023-07-01T00:00:00"/>
    <s v="D54"/>
    <s v="D"/>
    <x v="4"/>
    <x v="3"/>
    <x v="2"/>
    <n v="1"/>
    <n v="93.13"/>
    <x v="0"/>
  </r>
  <r>
    <d v="2023-07-01T00:00:00"/>
    <s v="D54"/>
    <s v="D"/>
    <x v="4"/>
    <x v="3"/>
    <x v="3"/>
    <n v="1"/>
    <n v="93.13"/>
    <x v="0"/>
  </r>
  <r>
    <d v="2023-07-01T00:00:00"/>
    <s v="D54"/>
    <s v="D"/>
    <x v="4"/>
    <x v="3"/>
    <x v="4"/>
    <n v="1.0629"/>
    <n v="98.99"/>
    <x v="0"/>
  </r>
  <r>
    <d v="2023-07-01T00:00:00"/>
    <s v="D54"/>
    <s v="D"/>
    <x v="4"/>
    <x v="3"/>
    <x v="5"/>
    <n v="1"/>
    <n v="93.13"/>
    <x v="0"/>
  </r>
  <r>
    <d v="2023-07-01T00:00:00"/>
    <s v="D55"/>
    <s v="D"/>
    <x v="4"/>
    <x v="4"/>
    <x v="0"/>
    <n v="1"/>
    <n v="98.89"/>
    <x v="0"/>
  </r>
  <r>
    <d v="2023-07-01T00:00:00"/>
    <s v="D55"/>
    <s v="D"/>
    <x v="4"/>
    <x v="4"/>
    <x v="1"/>
    <n v="1.0789"/>
    <n v="106.69"/>
    <x v="0"/>
  </r>
  <r>
    <d v="2023-07-01T00:00:00"/>
    <s v="D55"/>
    <s v="D"/>
    <x v="4"/>
    <x v="4"/>
    <x v="2"/>
    <n v="1"/>
    <n v="98.89"/>
    <x v="0"/>
  </r>
  <r>
    <d v="2023-07-01T00:00:00"/>
    <s v="D55"/>
    <s v="D"/>
    <x v="4"/>
    <x v="4"/>
    <x v="3"/>
    <n v="1"/>
    <n v="98.89"/>
    <x v="0"/>
  </r>
  <r>
    <d v="2023-07-01T00:00:00"/>
    <s v="D55"/>
    <s v="D"/>
    <x v="4"/>
    <x v="4"/>
    <x v="4"/>
    <n v="1.0629"/>
    <n v="105.11"/>
    <x v="0"/>
  </r>
  <r>
    <d v="2023-07-01T00:00:00"/>
    <s v="D55"/>
    <s v="D"/>
    <x v="4"/>
    <x v="4"/>
    <x v="5"/>
    <n v="1"/>
    <n v="98.89"/>
    <x v="0"/>
  </r>
  <r>
    <d v="2023-07-01T00:00:00"/>
    <s v="R11"/>
    <s v="R"/>
    <x v="0"/>
    <x v="0"/>
    <x v="0"/>
    <n v="1"/>
    <n v="28.2"/>
    <x v="1"/>
  </r>
  <r>
    <d v="2023-07-01T00:00:00"/>
    <s v="R11"/>
    <s v="R"/>
    <x v="0"/>
    <x v="0"/>
    <x v="1"/>
    <n v="1.0789"/>
    <n v="30.42"/>
    <x v="1"/>
  </r>
  <r>
    <d v="2023-07-01T00:00:00"/>
    <s v="R11"/>
    <s v="R"/>
    <x v="0"/>
    <x v="0"/>
    <x v="2"/>
    <n v="1"/>
    <n v="28.2"/>
    <x v="1"/>
  </r>
  <r>
    <d v="2023-07-01T00:00:00"/>
    <s v="R11"/>
    <s v="R"/>
    <x v="0"/>
    <x v="0"/>
    <x v="3"/>
    <n v="1"/>
    <n v="28.2"/>
    <x v="1"/>
  </r>
  <r>
    <d v="2023-07-01T00:00:00"/>
    <s v="R11"/>
    <s v="R"/>
    <x v="0"/>
    <x v="0"/>
    <x v="4"/>
    <n v="1.0629"/>
    <n v="29.97"/>
    <x v="1"/>
  </r>
  <r>
    <d v="2023-07-01T00:00:00"/>
    <s v="R11"/>
    <s v="R"/>
    <x v="0"/>
    <x v="0"/>
    <x v="5"/>
    <n v="1"/>
    <n v="28.2"/>
    <x v="1"/>
  </r>
  <r>
    <d v="2023-07-01T00:00:00"/>
    <s v="R12"/>
    <s v="R"/>
    <x v="0"/>
    <x v="1"/>
    <x v="0"/>
    <n v="1"/>
    <n v="30.84"/>
    <x v="1"/>
  </r>
  <r>
    <d v="2023-07-01T00:00:00"/>
    <s v="R12"/>
    <s v="R"/>
    <x v="0"/>
    <x v="1"/>
    <x v="1"/>
    <n v="1.0789"/>
    <n v="33.270000000000003"/>
    <x v="1"/>
  </r>
  <r>
    <d v="2023-07-01T00:00:00"/>
    <s v="R12"/>
    <s v="R"/>
    <x v="0"/>
    <x v="1"/>
    <x v="2"/>
    <n v="1"/>
    <n v="30.84"/>
    <x v="1"/>
  </r>
  <r>
    <d v="2023-07-01T00:00:00"/>
    <s v="R12"/>
    <s v="R"/>
    <x v="0"/>
    <x v="1"/>
    <x v="3"/>
    <n v="1"/>
    <n v="30.84"/>
    <x v="1"/>
  </r>
  <r>
    <d v="2023-07-01T00:00:00"/>
    <s v="R12"/>
    <s v="R"/>
    <x v="0"/>
    <x v="1"/>
    <x v="4"/>
    <n v="1.0629"/>
    <n v="32.78"/>
    <x v="1"/>
  </r>
  <r>
    <d v="2023-07-01T00:00:00"/>
    <s v="R12"/>
    <s v="R"/>
    <x v="0"/>
    <x v="1"/>
    <x v="5"/>
    <n v="1"/>
    <n v="30.84"/>
    <x v="1"/>
  </r>
  <r>
    <d v="2023-07-01T00:00:00"/>
    <s v="R13"/>
    <s v="R"/>
    <x v="0"/>
    <x v="2"/>
    <x v="0"/>
    <n v="1"/>
    <n v="35.11"/>
    <x v="1"/>
  </r>
  <r>
    <d v="2023-07-01T00:00:00"/>
    <s v="R13"/>
    <s v="R"/>
    <x v="0"/>
    <x v="2"/>
    <x v="1"/>
    <n v="1.0789"/>
    <n v="37.880000000000003"/>
    <x v="1"/>
  </r>
  <r>
    <d v="2023-07-01T00:00:00"/>
    <s v="R13"/>
    <s v="R"/>
    <x v="0"/>
    <x v="2"/>
    <x v="2"/>
    <n v="1"/>
    <n v="35.11"/>
    <x v="1"/>
  </r>
  <r>
    <d v="2023-07-01T00:00:00"/>
    <s v="R13"/>
    <s v="R"/>
    <x v="0"/>
    <x v="2"/>
    <x v="3"/>
    <n v="1"/>
    <n v="35.11"/>
    <x v="1"/>
  </r>
  <r>
    <d v="2023-07-01T00:00:00"/>
    <s v="R13"/>
    <s v="R"/>
    <x v="0"/>
    <x v="2"/>
    <x v="4"/>
    <n v="1.0629"/>
    <n v="37.32"/>
    <x v="1"/>
  </r>
  <r>
    <d v="2023-07-01T00:00:00"/>
    <s v="R13"/>
    <s v="R"/>
    <x v="0"/>
    <x v="2"/>
    <x v="5"/>
    <n v="1"/>
    <n v="35.11"/>
    <x v="1"/>
  </r>
  <r>
    <d v="2023-07-01T00:00:00"/>
    <s v="R14"/>
    <s v="R"/>
    <x v="0"/>
    <x v="3"/>
    <x v="0"/>
    <n v="1"/>
    <n v="40.869999999999997"/>
    <x v="1"/>
  </r>
  <r>
    <d v="2023-07-01T00:00:00"/>
    <s v="R14"/>
    <s v="R"/>
    <x v="0"/>
    <x v="3"/>
    <x v="1"/>
    <n v="1.0789"/>
    <n v="44.09"/>
    <x v="1"/>
  </r>
  <r>
    <d v="2023-07-01T00:00:00"/>
    <s v="R14"/>
    <s v="R"/>
    <x v="0"/>
    <x v="3"/>
    <x v="2"/>
    <n v="1"/>
    <n v="40.869999999999997"/>
    <x v="1"/>
  </r>
  <r>
    <d v="2023-07-01T00:00:00"/>
    <s v="R14"/>
    <s v="R"/>
    <x v="0"/>
    <x v="3"/>
    <x v="3"/>
    <n v="1"/>
    <n v="40.869999999999997"/>
    <x v="1"/>
  </r>
  <r>
    <d v="2023-07-01T00:00:00"/>
    <s v="R14"/>
    <s v="R"/>
    <x v="0"/>
    <x v="3"/>
    <x v="4"/>
    <n v="1.0629"/>
    <n v="43.44"/>
    <x v="1"/>
  </r>
  <r>
    <d v="2023-07-01T00:00:00"/>
    <s v="R14"/>
    <s v="R"/>
    <x v="0"/>
    <x v="3"/>
    <x v="5"/>
    <n v="1"/>
    <n v="40.869999999999997"/>
    <x v="1"/>
  </r>
  <r>
    <d v="2023-07-01T00:00:00"/>
    <s v="R15"/>
    <s v="R"/>
    <x v="0"/>
    <x v="4"/>
    <x v="0"/>
    <n v="1"/>
    <n v="45.91"/>
    <x v="1"/>
  </r>
  <r>
    <d v="2023-07-01T00:00:00"/>
    <s v="R15"/>
    <s v="R"/>
    <x v="0"/>
    <x v="4"/>
    <x v="1"/>
    <n v="1.0789"/>
    <n v="49.53"/>
    <x v="1"/>
  </r>
  <r>
    <d v="2023-07-01T00:00:00"/>
    <s v="R15"/>
    <s v="R"/>
    <x v="0"/>
    <x v="4"/>
    <x v="2"/>
    <n v="1"/>
    <n v="45.91"/>
    <x v="1"/>
  </r>
  <r>
    <d v="2023-07-01T00:00:00"/>
    <s v="R15"/>
    <s v="R"/>
    <x v="0"/>
    <x v="4"/>
    <x v="3"/>
    <n v="1"/>
    <n v="45.91"/>
    <x v="1"/>
  </r>
  <r>
    <d v="2023-07-01T00:00:00"/>
    <s v="R15"/>
    <s v="R"/>
    <x v="0"/>
    <x v="4"/>
    <x v="4"/>
    <n v="1.0629"/>
    <n v="48.8"/>
    <x v="1"/>
  </r>
  <r>
    <d v="2023-07-01T00:00:00"/>
    <s v="R15"/>
    <s v="R"/>
    <x v="0"/>
    <x v="4"/>
    <x v="5"/>
    <n v="1"/>
    <n v="45.91"/>
    <x v="1"/>
  </r>
  <r>
    <d v="2023-07-01T00:00:00"/>
    <s v="R21"/>
    <s v="R"/>
    <x v="1"/>
    <x v="0"/>
    <x v="0"/>
    <n v="1"/>
    <n v="50.48"/>
    <x v="1"/>
  </r>
  <r>
    <d v="2023-07-01T00:00:00"/>
    <s v="R21"/>
    <s v="R"/>
    <x v="1"/>
    <x v="0"/>
    <x v="1"/>
    <n v="1.0789"/>
    <n v="54.46"/>
    <x v="1"/>
  </r>
  <r>
    <d v="2023-07-01T00:00:00"/>
    <s v="R21"/>
    <s v="R"/>
    <x v="1"/>
    <x v="0"/>
    <x v="2"/>
    <n v="1"/>
    <n v="50.48"/>
    <x v="1"/>
  </r>
  <r>
    <d v="2023-07-01T00:00:00"/>
    <s v="R21"/>
    <s v="R"/>
    <x v="1"/>
    <x v="0"/>
    <x v="3"/>
    <n v="1"/>
    <n v="50.48"/>
    <x v="1"/>
  </r>
  <r>
    <d v="2023-07-01T00:00:00"/>
    <s v="R21"/>
    <s v="R"/>
    <x v="1"/>
    <x v="0"/>
    <x v="4"/>
    <n v="1.0629"/>
    <n v="53.66"/>
    <x v="1"/>
  </r>
  <r>
    <d v="2023-07-01T00:00:00"/>
    <s v="R21"/>
    <s v="R"/>
    <x v="1"/>
    <x v="0"/>
    <x v="5"/>
    <n v="1"/>
    <n v="50.48"/>
    <x v="1"/>
  </r>
  <r>
    <d v="2023-07-01T00:00:00"/>
    <s v="R22"/>
    <s v="R"/>
    <x v="1"/>
    <x v="1"/>
    <x v="0"/>
    <n v="1"/>
    <n v="53.12"/>
    <x v="1"/>
  </r>
  <r>
    <d v="2023-07-01T00:00:00"/>
    <s v="R22"/>
    <s v="R"/>
    <x v="1"/>
    <x v="1"/>
    <x v="1"/>
    <n v="1.0789"/>
    <n v="57.31"/>
    <x v="1"/>
  </r>
  <r>
    <d v="2023-07-01T00:00:00"/>
    <s v="R22"/>
    <s v="R"/>
    <x v="1"/>
    <x v="1"/>
    <x v="2"/>
    <n v="1"/>
    <n v="53.12"/>
    <x v="1"/>
  </r>
  <r>
    <d v="2023-07-01T00:00:00"/>
    <s v="R22"/>
    <s v="R"/>
    <x v="1"/>
    <x v="1"/>
    <x v="3"/>
    <n v="1"/>
    <n v="53.12"/>
    <x v="1"/>
  </r>
  <r>
    <d v="2023-07-01T00:00:00"/>
    <s v="R22"/>
    <s v="R"/>
    <x v="1"/>
    <x v="1"/>
    <x v="4"/>
    <n v="1.0629"/>
    <n v="56.46"/>
    <x v="1"/>
  </r>
  <r>
    <d v="2023-07-01T00:00:00"/>
    <s v="R22"/>
    <s v="R"/>
    <x v="1"/>
    <x v="1"/>
    <x v="5"/>
    <n v="1"/>
    <n v="53.12"/>
    <x v="1"/>
  </r>
  <r>
    <d v="2023-07-01T00:00:00"/>
    <s v="R23"/>
    <s v="R"/>
    <x v="1"/>
    <x v="2"/>
    <x v="0"/>
    <n v="1"/>
    <n v="57.38"/>
    <x v="1"/>
  </r>
  <r>
    <d v="2023-07-01T00:00:00"/>
    <s v="R23"/>
    <s v="R"/>
    <x v="1"/>
    <x v="2"/>
    <x v="1"/>
    <n v="1.0789"/>
    <n v="61.91"/>
    <x v="1"/>
  </r>
  <r>
    <d v="2023-07-01T00:00:00"/>
    <s v="R23"/>
    <s v="R"/>
    <x v="1"/>
    <x v="2"/>
    <x v="2"/>
    <n v="1"/>
    <n v="57.38"/>
    <x v="1"/>
  </r>
  <r>
    <d v="2023-07-01T00:00:00"/>
    <s v="R23"/>
    <s v="R"/>
    <x v="1"/>
    <x v="2"/>
    <x v="3"/>
    <n v="1"/>
    <n v="57.38"/>
    <x v="1"/>
  </r>
  <r>
    <d v="2023-07-01T00:00:00"/>
    <s v="R23"/>
    <s v="R"/>
    <x v="1"/>
    <x v="2"/>
    <x v="4"/>
    <n v="1.0629"/>
    <n v="60.99"/>
    <x v="1"/>
  </r>
  <r>
    <d v="2023-07-01T00:00:00"/>
    <s v="R23"/>
    <s v="R"/>
    <x v="1"/>
    <x v="2"/>
    <x v="5"/>
    <n v="1"/>
    <n v="57.38"/>
    <x v="1"/>
  </r>
  <r>
    <d v="2023-07-01T00:00:00"/>
    <s v="R24"/>
    <s v="R"/>
    <x v="1"/>
    <x v="3"/>
    <x v="0"/>
    <n v="1"/>
    <n v="63.15"/>
    <x v="1"/>
  </r>
  <r>
    <d v="2023-07-01T00:00:00"/>
    <s v="R24"/>
    <s v="R"/>
    <x v="1"/>
    <x v="3"/>
    <x v="1"/>
    <n v="1.0789"/>
    <n v="68.13"/>
    <x v="1"/>
  </r>
  <r>
    <d v="2023-07-01T00:00:00"/>
    <s v="R24"/>
    <s v="R"/>
    <x v="1"/>
    <x v="3"/>
    <x v="2"/>
    <n v="1"/>
    <n v="63.15"/>
    <x v="1"/>
  </r>
  <r>
    <d v="2023-07-01T00:00:00"/>
    <s v="R24"/>
    <s v="R"/>
    <x v="1"/>
    <x v="3"/>
    <x v="3"/>
    <n v="1"/>
    <n v="63.15"/>
    <x v="1"/>
  </r>
  <r>
    <d v="2023-07-01T00:00:00"/>
    <s v="R24"/>
    <s v="R"/>
    <x v="1"/>
    <x v="3"/>
    <x v="4"/>
    <n v="1.0629"/>
    <n v="67.12"/>
    <x v="1"/>
  </r>
  <r>
    <d v="2023-07-01T00:00:00"/>
    <s v="R24"/>
    <s v="R"/>
    <x v="1"/>
    <x v="3"/>
    <x v="5"/>
    <n v="1"/>
    <n v="63.15"/>
    <x v="1"/>
  </r>
  <r>
    <d v="2023-07-01T00:00:00"/>
    <s v="R25"/>
    <s v="R"/>
    <x v="1"/>
    <x v="4"/>
    <x v="0"/>
    <n v="1"/>
    <n v="68.2"/>
    <x v="1"/>
  </r>
  <r>
    <d v="2023-07-01T00:00:00"/>
    <s v="R25"/>
    <s v="R"/>
    <x v="1"/>
    <x v="4"/>
    <x v="1"/>
    <n v="1.0789"/>
    <n v="73.58"/>
    <x v="1"/>
  </r>
  <r>
    <d v="2023-07-01T00:00:00"/>
    <s v="R25"/>
    <s v="R"/>
    <x v="1"/>
    <x v="4"/>
    <x v="2"/>
    <n v="1"/>
    <n v="68.2"/>
    <x v="1"/>
  </r>
  <r>
    <d v="2023-07-01T00:00:00"/>
    <s v="R25"/>
    <s v="R"/>
    <x v="1"/>
    <x v="4"/>
    <x v="3"/>
    <n v="1"/>
    <n v="68.2"/>
    <x v="1"/>
  </r>
  <r>
    <d v="2023-07-01T00:00:00"/>
    <s v="R25"/>
    <s v="R"/>
    <x v="1"/>
    <x v="4"/>
    <x v="4"/>
    <n v="1.0629"/>
    <n v="72.489999999999995"/>
    <x v="1"/>
  </r>
  <r>
    <d v="2023-07-01T00:00:00"/>
    <s v="R25"/>
    <s v="R"/>
    <x v="1"/>
    <x v="4"/>
    <x v="5"/>
    <n v="1"/>
    <n v="68.2"/>
    <x v="1"/>
  </r>
  <r>
    <d v="2023-07-01T00:00:00"/>
    <s v="R31"/>
    <s v="R"/>
    <x v="2"/>
    <x v="0"/>
    <x v="0"/>
    <n v="1"/>
    <n v="86.05"/>
    <x v="1"/>
  </r>
  <r>
    <d v="2023-07-01T00:00:00"/>
    <s v="R31"/>
    <s v="R"/>
    <x v="2"/>
    <x v="0"/>
    <x v="1"/>
    <n v="1.0789"/>
    <n v="92.84"/>
    <x v="1"/>
  </r>
  <r>
    <d v="2023-07-01T00:00:00"/>
    <s v="R31"/>
    <s v="R"/>
    <x v="2"/>
    <x v="0"/>
    <x v="2"/>
    <n v="1"/>
    <n v="86.05"/>
    <x v="1"/>
  </r>
  <r>
    <d v="2023-07-01T00:00:00"/>
    <s v="R31"/>
    <s v="R"/>
    <x v="2"/>
    <x v="0"/>
    <x v="3"/>
    <n v="1"/>
    <n v="86.05"/>
    <x v="1"/>
  </r>
  <r>
    <d v="2023-07-01T00:00:00"/>
    <s v="R31"/>
    <s v="R"/>
    <x v="2"/>
    <x v="0"/>
    <x v="4"/>
    <n v="1.0629"/>
    <n v="91.46"/>
    <x v="1"/>
  </r>
  <r>
    <d v="2023-07-01T00:00:00"/>
    <s v="R31"/>
    <s v="R"/>
    <x v="2"/>
    <x v="0"/>
    <x v="5"/>
    <n v="1"/>
    <n v="86.05"/>
    <x v="1"/>
  </r>
  <r>
    <d v="2023-07-01T00:00:00"/>
    <s v="R32"/>
    <s v="R"/>
    <x v="2"/>
    <x v="1"/>
    <x v="0"/>
    <n v="1"/>
    <n v="88.72"/>
    <x v="1"/>
  </r>
  <r>
    <d v="2023-07-01T00:00:00"/>
    <s v="R32"/>
    <s v="R"/>
    <x v="2"/>
    <x v="1"/>
    <x v="1"/>
    <n v="1.0789"/>
    <n v="95.72"/>
    <x v="1"/>
  </r>
  <r>
    <d v="2023-07-01T00:00:00"/>
    <s v="R32"/>
    <s v="R"/>
    <x v="2"/>
    <x v="1"/>
    <x v="2"/>
    <n v="1"/>
    <n v="88.72"/>
    <x v="1"/>
  </r>
  <r>
    <d v="2023-07-01T00:00:00"/>
    <s v="R32"/>
    <s v="R"/>
    <x v="2"/>
    <x v="1"/>
    <x v="3"/>
    <n v="1"/>
    <n v="88.72"/>
    <x v="1"/>
  </r>
  <r>
    <d v="2023-07-01T00:00:00"/>
    <s v="R32"/>
    <s v="R"/>
    <x v="2"/>
    <x v="1"/>
    <x v="4"/>
    <n v="1.0629"/>
    <n v="94.3"/>
    <x v="1"/>
  </r>
  <r>
    <d v="2023-07-01T00:00:00"/>
    <s v="R32"/>
    <s v="R"/>
    <x v="2"/>
    <x v="1"/>
    <x v="5"/>
    <n v="1"/>
    <n v="88.72"/>
    <x v="1"/>
  </r>
  <r>
    <d v="2023-07-01T00:00:00"/>
    <s v="R33"/>
    <s v="R"/>
    <x v="2"/>
    <x v="2"/>
    <x v="0"/>
    <n v="1"/>
    <n v="92.93"/>
    <x v="1"/>
  </r>
  <r>
    <d v="2023-07-01T00:00:00"/>
    <s v="R33"/>
    <s v="R"/>
    <x v="2"/>
    <x v="2"/>
    <x v="1"/>
    <n v="1.0789"/>
    <n v="100.26"/>
    <x v="1"/>
  </r>
  <r>
    <d v="2023-07-01T00:00:00"/>
    <s v="R33"/>
    <s v="R"/>
    <x v="2"/>
    <x v="2"/>
    <x v="2"/>
    <n v="1"/>
    <n v="92.93"/>
    <x v="1"/>
  </r>
  <r>
    <d v="2023-07-01T00:00:00"/>
    <s v="R33"/>
    <s v="R"/>
    <x v="2"/>
    <x v="2"/>
    <x v="3"/>
    <n v="1"/>
    <n v="92.93"/>
    <x v="1"/>
  </r>
  <r>
    <d v="2023-07-01T00:00:00"/>
    <s v="R33"/>
    <s v="R"/>
    <x v="2"/>
    <x v="2"/>
    <x v="4"/>
    <n v="1.0629"/>
    <n v="98.78"/>
    <x v="1"/>
  </r>
  <r>
    <d v="2023-07-01T00:00:00"/>
    <s v="R33"/>
    <s v="R"/>
    <x v="2"/>
    <x v="2"/>
    <x v="5"/>
    <n v="1"/>
    <n v="92.93"/>
    <x v="1"/>
  </r>
  <r>
    <d v="2023-07-01T00:00:00"/>
    <s v="R34"/>
    <s v="R"/>
    <x v="2"/>
    <x v="3"/>
    <x v="0"/>
    <n v="1"/>
    <n v="98.69"/>
    <x v="1"/>
  </r>
  <r>
    <d v="2023-07-01T00:00:00"/>
    <s v="R34"/>
    <s v="R"/>
    <x v="2"/>
    <x v="3"/>
    <x v="1"/>
    <n v="1.0789"/>
    <n v="106.48"/>
    <x v="1"/>
  </r>
  <r>
    <d v="2023-07-01T00:00:00"/>
    <s v="R34"/>
    <s v="R"/>
    <x v="2"/>
    <x v="3"/>
    <x v="2"/>
    <n v="1"/>
    <n v="98.69"/>
    <x v="1"/>
  </r>
  <r>
    <d v="2023-07-01T00:00:00"/>
    <s v="R34"/>
    <s v="R"/>
    <x v="2"/>
    <x v="3"/>
    <x v="3"/>
    <n v="1"/>
    <n v="98.69"/>
    <x v="1"/>
  </r>
  <r>
    <d v="2023-07-01T00:00:00"/>
    <s v="R34"/>
    <s v="R"/>
    <x v="2"/>
    <x v="3"/>
    <x v="4"/>
    <n v="1.0629"/>
    <n v="104.9"/>
    <x v="1"/>
  </r>
  <r>
    <d v="2023-07-01T00:00:00"/>
    <s v="R34"/>
    <s v="R"/>
    <x v="2"/>
    <x v="3"/>
    <x v="5"/>
    <n v="1"/>
    <n v="98.69"/>
    <x v="1"/>
  </r>
  <r>
    <d v="2023-07-01T00:00:00"/>
    <s v="R35"/>
    <s v="R"/>
    <x v="2"/>
    <x v="4"/>
    <x v="0"/>
    <n v="1"/>
    <n v="103.79"/>
    <x v="1"/>
  </r>
  <r>
    <d v="2023-07-01T00:00:00"/>
    <s v="R35"/>
    <s v="R"/>
    <x v="2"/>
    <x v="4"/>
    <x v="1"/>
    <n v="1.0789"/>
    <n v="111.98"/>
    <x v="1"/>
  </r>
  <r>
    <d v="2023-07-01T00:00:00"/>
    <s v="R35"/>
    <s v="R"/>
    <x v="2"/>
    <x v="4"/>
    <x v="2"/>
    <n v="1"/>
    <n v="103.79"/>
    <x v="1"/>
  </r>
  <r>
    <d v="2023-07-01T00:00:00"/>
    <s v="R35"/>
    <s v="R"/>
    <x v="2"/>
    <x v="4"/>
    <x v="3"/>
    <n v="1"/>
    <n v="103.79"/>
    <x v="1"/>
  </r>
  <r>
    <d v="2023-07-01T00:00:00"/>
    <s v="R35"/>
    <s v="R"/>
    <x v="2"/>
    <x v="4"/>
    <x v="4"/>
    <n v="1.0629"/>
    <n v="110.32"/>
    <x v="1"/>
  </r>
  <r>
    <d v="2023-07-01T00:00:00"/>
    <s v="R35"/>
    <s v="R"/>
    <x v="2"/>
    <x v="4"/>
    <x v="5"/>
    <n v="1"/>
    <n v="103.79"/>
    <x v="1"/>
  </r>
  <r>
    <d v="2023-07-01T00:00:00"/>
    <s v="R41"/>
    <s v="R"/>
    <x v="3"/>
    <x v="0"/>
    <x v="0"/>
    <n v="1"/>
    <n v="139.38999999999999"/>
    <x v="1"/>
  </r>
  <r>
    <d v="2023-07-01T00:00:00"/>
    <s v="R41"/>
    <s v="R"/>
    <x v="3"/>
    <x v="0"/>
    <x v="1"/>
    <n v="1.0789"/>
    <n v="150.38999999999999"/>
    <x v="1"/>
  </r>
  <r>
    <d v="2023-07-01T00:00:00"/>
    <s v="R41"/>
    <s v="R"/>
    <x v="3"/>
    <x v="0"/>
    <x v="2"/>
    <n v="1"/>
    <n v="139.38999999999999"/>
    <x v="1"/>
  </r>
  <r>
    <d v="2023-07-01T00:00:00"/>
    <s v="R41"/>
    <s v="R"/>
    <x v="3"/>
    <x v="0"/>
    <x v="3"/>
    <n v="1"/>
    <n v="139.38999999999999"/>
    <x v="1"/>
  </r>
  <r>
    <d v="2023-07-01T00:00:00"/>
    <s v="R41"/>
    <s v="R"/>
    <x v="3"/>
    <x v="0"/>
    <x v="4"/>
    <n v="1.0629"/>
    <n v="148.16"/>
    <x v="1"/>
  </r>
  <r>
    <d v="2023-07-01T00:00:00"/>
    <s v="R41"/>
    <s v="R"/>
    <x v="3"/>
    <x v="0"/>
    <x v="5"/>
    <n v="1"/>
    <n v="139.38999999999999"/>
    <x v="1"/>
  </r>
  <r>
    <d v="2023-07-01T00:00:00"/>
    <s v="R42"/>
    <s v="R"/>
    <x v="3"/>
    <x v="1"/>
    <x v="0"/>
    <n v="1"/>
    <n v="142.04"/>
    <x v="1"/>
  </r>
  <r>
    <d v="2023-07-01T00:00:00"/>
    <s v="R42"/>
    <s v="R"/>
    <x v="3"/>
    <x v="1"/>
    <x v="1"/>
    <n v="1.0789"/>
    <n v="153.25"/>
    <x v="1"/>
  </r>
  <r>
    <d v="2023-07-01T00:00:00"/>
    <s v="R42"/>
    <s v="R"/>
    <x v="3"/>
    <x v="1"/>
    <x v="2"/>
    <n v="1"/>
    <n v="142.04"/>
    <x v="1"/>
  </r>
  <r>
    <d v="2023-07-01T00:00:00"/>
    <s v="R42"/>
    <s v="R"/>
    <x v="3"/>
    <x v="1"/>
    <x v="3"/>
    <n v="1"/>
    <n v="142.04"/>
    <x v="1"/>
  </r>
  <r>
    <d v="2023-07-01T00:00:00"/>
    <s v="R42"/>
    <s v="R"/>
    <x v="3"/>
    <x v="1"/>
    <x v="4"/>
    <n v="1.0629"/>
    <n v="150.97"/>
    <x v="1"/>
  </r>
  <r>
    <d v="2023-07-01T00:00:00"/>
    <s v="R42"/>
    <s v="R"/>
    <x v="3"/>
    <x v="1"/>
    <x v="5"/>
    <n v="1"/>
    <n v="142.04"/>
    <x v="1"/>
  </r>
  <r>
    <d v="2023-07-01T00:00:00"/>
    <s v="R43"/>
    <s v="R"/>
    <x v="3"/>
    <x v="2"/>
    <x v="0"/>
    <n v="1"/>
    <n v="146.31"/>
    <x v="1"/>
  </r>
  <r>
    <d v="2023-07-01T00:00:00"/>
    <s v="R43"/>
    <s v="R"/>
    <x v="3"/>
    <x v="2"/>
    <x v="1"/>
    <n v="1.0789"/>
    <n v="157.85"/>
    <x v="1"/>
  </r>
  <r>
    <d v="2023-07-01T00:00:00"/>
    <s v="R43"/>
    <s v="R"/>
    <x v="3"/>
    <x v="2"/>
    <x v="2"/>
    <n v="1"/>
    <n v="146.31"/>
    <x v="1"/>
  </r>
  <r>
    <d v="2023-07-01T00:00:00"/>
    <s v="R43"/>
    <s v="R"/>
    <x v="3"/>
    <x v="2"/>
    <x v="3"/>
    <n v="1"/>
    <n v="146.31"/>
    <x v="1"/>
  </r>
  <r>
    <d v="2023-07-01T00:00:00"/>
    <s v="R43"/>
    <s v="R"/>
    <x v="3"/>
    <x v="2"/>
    <x v="4"/>
    <n v="1.0629"/>
    <n v="155.51"/>
    <x v="1"/>
  </r>
  <r>
    <d v="2023-07-01T00:00:00"/>
    <s v="R43"/>
    <s v="R"/>
    <x v="3"/>
    <x v="2"/>
    <x v="5"/>
    <n v="1"/>
    <n v="146.31"/>
    <x v="1"/>
  </r>
  <r>
    <d v="2023-07-01T00:00:00"/>
    <s v="R44"/>
    <s v="R"/>
    <x v="3"/>
    <x v="3"/>
    <x v="0"/>
    <n v="1"/>
    <n v="152.07"/>
    <x v="1"/>
  </r>
  <r>
    <d v="2023-07-01T00:00:00"/>
    <s v="R44"/>
    <s v="R"/>
    <x v="3"/>
    <x v="3"/>
    <x v="1"/>
    <n v="1.0789"/>
    <n v="164.07"/>
    <x v="1"/>
  </r>
  <r>
    <d v="2023-07-01T00:00:00"/>
    <s v="R44"/>
    <s v="R"/>
    <x v="3"/>
    <x v="3"/>
    <x v="2"/>
    <n v="1"/>
    <n v="152.07"/>
    <x v="1"/>
  </r>
  <r>
    <d v="2023-07-01T00:00:00"/>
    <s v="R44"/>
    <s v="R"/>
    <x v="3"/>
    <x v="3"/>
    <x v="3"/>
    <n v="1"/>
    <n v="152.07"/>
    <x v="1"/>
  </r>
  <r>
    <d v="2023-07-01T00:00:00"/>
    <s v="R44"/>
    <s v="R"/>
    <x v="3"/>
    <x v="3"/>
    <x v="4"/>
    <n v="1.0629"/>
    <n v="161.63999999999999"/>
    <x v="1"/>
  </r>
  <r>
    <d v="2023-07-01T00:00:00"/>
    <s v="R44"/>
    <s v="R"/>
    <x v="3"/>
    <x v="3"/>
    <x v="5"/>
    <n v="1"/>
    <n v="152.07"/>
    <x v="1"/>
  </r>
  <r>
    <d v="2023-07-01T00:00:00"/>
    <s v="R45"/>
    <s v="R"/>
    <x v="3"/>
    <x v="4"/>
    <x v="0"/>
    <n v="1"/>
    <n v="157.12"/>
    <x v="1"/>
  </r>
  <r>
    <d v="2023-07-01T00:00:00"/>
    <s v="R45"/>
    <s v="R"/>
    <x v="3"/>
    <x v="4"/>
    <x v="1"/>
    <n v="1.0789"/>
    <n v="169.52"/>
    <x v="1"/>
  </r>
  <r>
    <d v="2023-07-01T00:00:00"/>
    <s v="R45"/>
    <s v="R"/>
    <x v="3"/>
    <x v="4"/>
    <x v="2"/>
    <n v="1"/>
    <n v="157.12"/>
    <x v="1"/>
  </r>
  <r>
    <d v="2023-07-01T00:00:00"/>
    <s v="R45"/>
    <s v="R"/>
    <x v="3"/>
    <x v="4"/>
    <x v="3"/>
    <n v="1"/>
    <n v="157.12"/>
    <x v="1"/>
  </r>
  <r>
    <d v="2023-07-01T00:00:00"/>
    <s v="R45"/>
    <s v="R"/>
    <x v="3"/>
    <x v="4"/>
    <x v="4"/>
    <n v="1.0629"/>
    <n v="167"/>
    <x v="1"/>
  </r>
  <r>
    <d v="2023-07-01T00:00:00"/>
    <s v="R45"/>
    <s v="R"/>
    <x v="3"/>
    <x v="4"/>
    <x v="5"/>
    <n v="1"/>
    <n v="157.12"/>
    <x v="1"/>
  </r>
  <r>
    <d v="2023-07-01T00:00:00"/>
    <s v="R51"/>
    <s v="R"/>
    <x v="4"/>
    <x v="0"/>
    <x v="0"/>
    <n v="1"/>
    <n v="199.89"/>
    <x v="1"/>
  </r>
  <r>
    <d v="2023-07-01T00:00:00"/>
    <s v="R51"/>
    <s v="R"/>
    <x v="4"/>
    <x v="0"/>
    <x v="1"/>
    <n v="1.0789"/>
    <n v="215.66"/>
    <x v="1"/>
  </r>
  <r>
    <d v="2023-07-01T00:00:00"/>
    <s v="R51"/>
    <s v="R"/>
    <x v="4"/>
    <x v="0"/>
    <x v="2"/>
    <n v="1"/>
    <n v="199.89"/>
    <x v="1"/>
  </r>
  <r>
    <d v="2023-07-01T00:00:00"/>
    <s v="R51"/>
    <s v="R"/>
    <x v="4"/>
    <x v="0"/>
    <x v="3"/>
    <n v="1"/>
    <n v="199.89"/>
    <x v="1"/>
  </r>
  <r>
    <d v="2023-07-01T00:00:00"/>
    <s v="R51"/>
    <s v="R"/>
    <x v="4"/>
    <x v="0"/>
    <x v="4"/>
    <n v="1.0629"/>
    <n v="212.46"/>
    <x v="1"/>
  </r>
  <r>
    <d v="2023-07-01T00:00:00"/>
    <s v="R51"/>
    <s v="R"/>
    <x v="4"/>
    <x v="0"/>
    <x v="5"/>
    <n v="1"/>
    <n v="199.89"/>
    <x v="1"/>
  </r>
  <r>
    <d v="2023-07-01T00:00:00"/>
    <s v="R52"/>
    <s v="R"/>
    <x v="4"/>
    <x v="1"/>
    <x v="0"/>
    <n v="1"/>
    <n v="202.5"/>
    <x v="1"/>
  </r>
  <r>
    <d v="2023-07-01T00:00:00"/>
    <s v="R52"/>
    <s v="R"/>
    <x v="4"/>
    <x v="1"/>
    <x v="1"/>
    <n v="1.0789"/>
    <n v="218.48"/>
    <x v="1"/>
  </r>
  <r>
    <d v="2023-07-01T00:00:00"/>
    <s v="R52"/>
    <s v="R"/>
    <x v="4"/>
    <x v="1"/>
    <x v="2"/>
    <n v="1"/>
    <n v="202.5"/>
    <x v="1"/>
  </r>
  <r>
    <d v="2023-07-01T00:00:00"/>
    <s v="R52"/>
    <s v="R"/>
    <x v="4"/>
    <x v="1"/>
    <x v="3"/>
    <n v="1"/>
    <n v="202.5"/>
    <x v="1"/>
  </r>
  <r>
    <d v="2023-07-01T00:00:00"/>
    <s v="R52"/>
    <s v="R"/>
    <x v="4"/>
    <x v="1"/>
    <x v="4"/>
    <n v="1.0629"/>
    <n v="215.24"/>
    <x v="1"/>
  </r>
  <r>
    <d v="2023-07-01T00:00:00"/>
    <s v="R52"/>
    <s v="R"/>
    <x v="4"/>
    <x v="1"/>
    <x v="5"/>
    <n v="1"/>
    <n v="202.5"/>
    <x v="1"/>
  </r>
  <r>
    <d v="2023-07-01T00:00:00"/>
    <s v="R53"/>
    <s v="R"/>
    <x v="4"/>
    <x v="2"/>
    <x v="0"/>
    <n v="1"/>
    <n v="206.76"/>
    <x v="1"/>
  </r>
  <r>
    <d v="2023-07-01T00:00:00"/>
    <s v="R53"/>
    <s v="R"/>
    <x v="4"/>
    <x v="2"/>
    <x v="1"/>
    <n v="1.0789"/>
    <n v="223.07"/>
    <x v="1"/>
  </r>
  <r>
    <d v="2023-07-01T00:00:00"/>
    <s v="R53"/>
    <s v="R"/>
    <x v="4"/>
    <x v="2"/>
    <x v="2"/>
    <n v="1"/>
    <n v="206.76"/>
    <x v="1"/>
  </r>
  <r>
    <d v="2023-07-01T00:00:00"/>
    <s v="R53"/>
    <s v="R"/>
    <x v="4"/>
    <x v="2"/>
    <x v="3"/>
    <n v="1"/>
    <n v="206.76"/>
    <x v="1"/>
  </r>
  <r>
    <d v="2023-07-01T00:00:00"/>
    <s v="R53"/>
    <s v="R"/>
    <x v="4"/>
    <x v="2"/>
    <x v="4"/>
    <n v="1.0629"/>
    <n v="219.77"/>
    <x v="1"/>
  </r>
  <r>
    <d v="2023-07-01T00:00:00"/>
    <s v="R53"/>
    <s v="R"/>
    <x v="4"/>
    <x v="2"/>
    <x v="5"/>
    <n v="1"/>
    <n v="206.76"/>
    <x v="1"/>
  </r>
  <r>
    <d v="2023-07-01T00:00:00"/>
    <s v="R54"/>
    <s v="R"/>
    <x v="4"/>
    <x v="3"/>
    <x v="0"/>
    <n v="1"/>
    <n v="212.51"/>
    <x v="1"/>
  </r>
  <r>
    <d v="2023-07-01T00:00:00"/>
    <s v="R54"/>
    <s v="R"/>
    <x v="4"/>
    <x v="3"/>
    <x v="1"/>
    <n v="1.0789"/>
    <n v="229.28"/>
    <x v="1"/>
  </r>
  <r>
    <d v="2023-07-01T00:00:00"/>
    <s v="R54"/>
    <s v="R"/>
    <x v="4"/>
    <x v="3"/>
    <x v="2"/>
    <n v="1"/>
    <n v="212.51"/>
    <x v="1"/>
  </r>
  <r>
    <d v="2023-07-01T00:00:00"/>
    <s v="R54"/>
    <s v="R"/>
    <x v="4"/>
    <x v="3"/>
    <x v="3"/>
    <n v="1"/>
    <n v="212.51"/>
    <x v="1"/>
  </r>
  <r>
    <d v="2023-07-01T00:00:00"/>
    <s v="R54"/>
    <s v="R"/>
    <x v="4"/>
    <x v="3"/>
    <x v="4"/>
    <n v="1.0629"/>
    <n v="225.88"/>
    <x v="1"/>
  </r>
  <r>
    <d v="2023-07-01T00:00:00"/>
    <s v="R54"/>
    <s v="R"/>
    <x v="4"/>
    <x v="3"/>
    <x v="5"/>
    <n v="1"/>
    <n v="212.51"/>
    <x v="1"/>
  </r>
  <r>
    <d v="2023-07-01T00:00:00"/>
    <s v="R55"/>
    <s v="R"/>
    <x v="4"/>
    <x v="4"/>
    <x v="0"/>
    <n v="1"/>
    <n v="217.58"/>
    <x v="1"/>
  </r>
  <r>
    <d v="2023-07-01T00:00:00"/>
    <s v="R55"/>
    <s v="R"/>
    <x v="4"/>
    <x v="4"/>
    <x v="1"/>
    <n v="1.0789"/>
    <n v="234.75"/>
    <x v="1"/>
  </r>
  <r>
    <d v="2023-07-01T00:00:00"/>
    <s v="R55"/>
    <s v="R"/>
    <x v="4"/>
    <x v="4"/>
    <x v="2"/>
    <n v="1"/>
    <n v="217.58"/>
    <x v="1"/>
  </r>
  <r>
    <d v="2023-07-01T00:00:00"/>
    <s v="R55"/>
    <s v="R"/>
    <x v="4"/>
    <x v="4"/>
    <x v="3"/>
    <n v="1"/>
    <n v="217.58"/>
    <x v="1"/>
  </r>
  <r>
    <d v="2023-07-01T00:00:00"/>
    <s v="R55"/>
    <s v="R"/>
    <x v="4"/>
    <x v="4"/>
    <x v="4"/>
    <n v="1.0629"/>
    <n v="231.27"/>
    <x v="1"/>
  </r>
  <r>
    <d v="2023-07-01T00:00:00"/>
    <s v="R55"/>
    <s v="R"/>
    <x v="4"/>
    <x v="4"/>
    <x v="5"/>
    <n v="1"/>
    <n v="217.58"/>
    <x v="1"/>
  </r>
  <r>
    <d v="2023-07-01T00:00:00"/>
    <s v="S11"/>
    <s v="S"/>
    <x v="0"/>
    <x v="0"/>
    <x v="0"/>
    <n v="1"/>
    <n v="28.8"/>
    <x v="2"/>
  </r>
  <r>
    <d v="2023-07-01T00:00:00"/>
    <s v="S11"/>
    <s v="S"/>
    <x v="0"/>
    <x v="0"/>
    <x v="1"/>
    <n v="1.0789"/>
    <n v="31.07"/>
    <x v="2"/>
  </r>
  <r>
    <d v="2023-07-01T00:00:00"/>
    <s v="S11"/>
    <s v="S"/>
    <x v="0"/>
    <x v="0"/>
    <x v="2"/>
    <n v="1"/>
    <n v="28.8"/>
    <x v="2"/>
  </r>
  <r>
    <d v="2023-07-01T00:00:00"/>
    <s v="S11"/>
    <s v="S"/>
    <x v="0"/>
    <x v="0"/>
    <x v="3"/>
    <n v="1"/>
    <n v="28.8"/>
    <x v="2"/>
  </r>
  <r>
    <d v="2023-07-01T00:00:00"/>
    <s v="S11"/>
    <s v="S"/>
    <x v="0"/>
    <x v="0"/>
    <x v="4"/>
    <n v="1.0629"/>
    <n v="30.61"/>
    <x v="2"/>
  </r>
  <r>
    <d v="2023-07-01T00:00:00"/>
    <s v="S11"/>
    <s v="S"/>
    <x v="0"/>
    <x v="0"/>
    <x v="5"/>
    <n v="1"/>
    <n v="28.8"/>
    <x v="2"/>
  </r>
  <r>
    <d v="2023-07-01T00:00:00"/>
    <s v="S12"/>
    <s v="S"/>
    <x v="0"/>
    <x v="1"/>
    <x v="0"/>
    <n v="1"/>
    <n v="31.78"/>
    <x v="2"/>
  </r>
  <r>
    <d v="2023-07-01T00:00:00"/>
    <s v="S12"/>
    <s v="S"/>
    <x v="0"/>
    <x v="1"/>
    <x v="1"/>
    <n v="1.0789"/>
    <n v="34.29"/>
    <x v="2"/>
  </r>
  <r>
    <d v="2023-07-01T00:00:00"/>
    <s v="S12"/>
    <s v="S"/>
    <x v="0"/>
    <x v="1"/>
    <x v="2"/>
    <n v="1"/>
    <n v="31.78"/>
    <x v="2"/>
  </r>
  <r>
    <d v="2023-07-01T00:00:00"/>
    <s v="S12"/>
    <s v="S"/>
    <x v="0"/>
    <x v="1"/>
    <x v="3"/>
    <n v="1"/>
    <n v="31.78"/>
    <x v="2"/>
  </r>
  <r>
    <d v="2023-07-01T00:00:00"/>
    <s v="S12"/>
    <s v="S"/>
    <x v="0"/>
    <x v="1"/>
    <x v="4"/>
    <n v="1.0629"/>
    <n v="33.78"/>
    <x v="2"/>
  </r>
  <r>
    <d v="2023-07-01T00:00:00"/>
    <s v="S12"/>
    <s v="S"/>
    <x v="0"/>
    <x v="1"/>
    <x v="5"/>
    <n v="1"/>
    <n v="31.78"/>
    <x v="2"/>
  </r>
  <r>
    <d v="2023-07-01T00:00:00"/>
    <s v="S13"/>
    <s v="S"/>
    <x v="0"/>
    <x v="2"/>
    <x v="0"/>
    <n v="1"/>
    <n v="36.64"/>
    <x v="2"/>
  </r>
  <r>
    <d v="2023-07-01T00:00:00"/>
    <s v="S13"/>
    <s v="S"/>
    <x v="0"/>
    <x v="2"/>
    <x v="1"/>
    <n v="1.0789"/>
    <n v="39.53"/>
    <x v="2"/>
  </r>
  <r>
    <d v="2023-07-01T00:00:00"/>
    <s v="S13"/>
    <s v="S"/>
    <x v="0"/>
    <x v="2"/>
    <x v="2"/>
    <n v="1"/>
    <n v="36.64"/>
    <x v="2"/>
  </r>
  <r>
    <d v="2023-07-01T00:00:00"/>
    <s v="S13"/>
    <s v="S"/>
    <x v="0"/>
    <x v="2"/>
    <x v="3"/>
    <n v="1"/>
    <n v="36.64"/>
    <x v="2"/>
  </r>
  <r>
    <d v="2023-07-01T00:00:00"/>
    <s v="S13"/>
    <s v="S"/>
    <x v="0"/>
    <x v="2"/>
    <x v="4"/>
    <n v="1.0629"/>
    <n v="38.94"/>
    <x v="2"/>
  </r>
  <r>
    <d v="2023-07-01T00:00:00"/>
    <s v="S13"/>
    <s v="S"/>
    <x v="0"/>
    <x v="2"/>
    <x v="5"/>
    <n v="1"/>
    <n v="36.64"/>
    <x v="2"/>
  </r>
  <r>
    <d v="2023-07-01T00:00:00"/>
    <s v="S14"/>
    <s v="S"/>
    <x v="0"/>
    <x v="3"/>
    <x v="0"/>
    <n v="1"/>
    <n v="43.22"/>
    <x v="2"/>
  </r>
  <r>
    <d v="2023-07-01T00:00:00"/>
    <s v="S14"/>
    <s v="S"/>
    <x v="0"/>
    <x v="3"/>
    <x v="1"/>
    <n v="1.0789"/>
    <n v="46.63"/>
    <x v="2"/>
  </r>
  <r>
    <d v="2023-07-01T00:00:00"/>
    <s v="S14"/>
    <s v="S"/>
    <x v="0"/>
    <x v="3"/>
    <x v="2"/>
    <n v="1"/>
    <n v="43.22"/>
    <x v="2"/>
  </r>
  <r>
    <d v="2023-07-01T00:00:00"/>
    <s v="S14"/>
    <s v="S"/>
    <x v="0"/>
    <x v="3"/>
    <x v="3"/>
    <n v="1"/>
    <n v="43.22"/>
    <x v="2"/>
  </r>
  <r>
    <d v="2023-07-01T00:00:00"/>
    <s v="S14"/>
    <s v="S"/>
    <x v="0"/>
    <x v="3"/>
    <x v="4"/>
    <n v="1.0629"/>
    <n v="45.94"/>
    <x v="2"/>
  </r>
  <r>
    <d v="2023-07-01T00:00:00"/>
    <s v="S14"/>
    <s v="S"/>
    <x v="0"/>
    <x v="3"/>
    <x v="5"/>
    <n v="1"/>
    <n v="43.22"/>
    <x v="2"/>
  </r>
  <r>
    <d v="2023-07-01T00:00:00"/>
    <s v="S15"/>
    <s v="S"/>
    <x v="0"/>
    <x v="4"/>
    <x v="0"/>
    <n v="1"/>
    <n v="48.98"/>
    <x v="2"/>
  </r>
  <r>
    <d v="2023-07-01T00:00:00"/>
    <s v="S15"/>
    <s v="S"/>
    <x v="0"/>
    <x v="4"/>
    <x v="1"/>
    <n v="1.0789"/>
    <n v="52.84"/>
    <x v="2"/>
  </r>
  <r>
    <d v="2023-07-01T00:00:00"/>
    <s v="S15"/>
    <s v="S"/>
    <x v="0"/>
    <x v="4"/>
    <x v="2"/>
    <n v="1"/>
    <n v="48.98"/>
    <x v="2"/>
  </r>
  <r>
    <d v="2023-07-01T00:00:00"/>
    <s v="S15"/>
    <s v="S"/>
    <x v="0"/>
    <x v="4"/>
    <x v="3"/>
    <n v="1"/>
    <n v="48.98"/>
    <x v="2"/>
  </r>
  <r>
    <d v="2023-07-01T00:00:00"/>
    <s v="S15"/>
    <s v="S"/>
    <x v="0"/>
    <x v="4"/>
    <x v="4"/>
    <n v="1.0629"/>
    <n v="52.06"/>
    <x v="2"/>
  </r>
  <r>
    <d v="2023-07-01T00:00:00"/>
    <s v="S15"/>
    <s v="S"/>
    <x v="0"/>
    <x v="4"/>
    <x v="5"/>
    <n v="1"/>
    <n v="48.98"/>
    <x v="2"/>
  </r>
  <r>
    <d v="2023-07-01T00:00:00"/>
    <s v="S21"/>
    <s v="S"/>
    <x v="1"/>
    <x v="0"/>
    <x v="0"/>
    <n v="1"/>
    <n v="34.409999999999997"/>
    <x v="2"/>
  </r>
  <r>
    <d v="2023-07-01T00:00:00"/>
    <s v="S21"/>
    <s v="S"/>
    <x v="1"/>
    <x v="0"/>
    <x v="1"/>
    <n v="1.0789"/>
    <n v="37.119999999999997"/>
    <x v="2"/>
  </r>
  <r>
    <d v="2023-07-01T00:00:00"/>
    <s v="S21"/>
    <s v="S"/>
    <x v="1"/>
    <x v="0"/>
    <x v="2"/>
    <n v="1"/>
    <n v="34.409999999999997"/>
    <x v="2"/>
  </r>
  <r>
    <d v="2023-07-01T00:00:00"/>
    <s v="S21"/>
    <s v="S"/>
    <x v="1"/>
    <x v="0"/>
    <x v="3"/>
    <n v="1"/>
    <n v="34.409999999999997"/>
    <x v="2"/>
  </r>
  <r>
    <d v="2023-07-01T00:00:00"/>
    <s v="S21"/>
    <s v="S"/>
    <x v="1"/>
    <x v="0"/>
    <x v="4"/>
    <n v="1.0629"/>
    <n v="36.57"/>
    <x v="2"/>
  </r>
  <r>
    <d v="2023-07-01T00:00:00"/>
    <s v="S21"/>
    <s v="S"/>
    <x v="1"/>
    <x v="0"/>
    <x v="5"/>
    <n v="1"/>
    <n v="34.409999999999997"/>
    <x v="2"/>
  </r>
  <r>
    <d v="2023-07-01T00:00:00"/>
    <s v="S22"/>
    <s v="S"/>
    <x v="1"/>
    <x v="1"/>
    <x v="0"/>
    <n v="1"/>
    <n v="37.39"/>
    <x v="2"/>
  </r>
  <r>
    <d v="2023-07-01T00:00:00"/>
    <s v="S22"/>
    <s v="S"/>
    <x v="1"/>
    <x v="1"/>
    <x v="1"/>
    <n v="1.0789"/>
    <n v="40.340000000000003"/>
    <x v="2"/>
  </r>
  <r>
    <d v="2023-07-01T00:00:00"/>
    <s v="S22"/>
    <s v="S"/>
    <x v="1"/>
    <x v="1"/>
    <x v="2"/>
    <n v="1"/>
    <n v="37.39"/>
    <x v="2"/>
  </r>
  <r>
    <d v="2023-07-01T00:00:00"/>
    <s v="S22"/>
    <s v="S"/>
    <x v="1"/>
    <x v="1"/>
    <x v="3"/>
    <n v="1"/>
    <n v="37.39"/>
    <x v="2"/>
  </r>
  <r>
    <d v="2023-07-01T00:00:00"/>
    <s v="S22"/>
    <s v="S"/>
    <x v="1"/>
    <x v="1"/>
    <x v="4"/>
    <n v="1.0629"/>
    <n v="39.74"/>
    <x v="2"/>
  </r>
  <r>
    <d v="2023-07-01T00:00:00"/>
    <s v="S22"/>
    <s v="S"/>
    <x v="1"/>
    <x v="1"/>
    <x v="5"/>
    <n v="1"/>
    <n v="37.39"/>
    <x v="2"/>
  </r>
  <r>
    <d v="2023-07-01T00:00:00"/>
    <s v="S23"/>
    <s v="S"/>
    <x v="1"/>
    <x v="2"/>
    <x v="0"/>
    <n v="1"/>
    <n v="42.28"/>
    <x v="2"/>
  </r>
  <r>
    <d v="2023-07-01T00:00:00"/>
    <s v="S23"/>
    <s v="S"/>
    <x v="1"/>
    <x v="2"/>
    <x v="1"/>
    <n v="1.0789"/>
    <n v="45.62"/>
    <x v="2"/>
  </r>
  <r>
    <d v="2023-07-01T00:00:00"/>
    <s v="S23"/>
    <s v="S"/>
    <x v="1"/>
    <x v="2"/>
    <x v="2"/>
    <n v="1"/>
    <n v="42.28"/>
    <x v="2"/>
  </r>
  <r>
    <d v="2023-07-01T00:00:00"/>
    <s v="S23"/>
    <s v="S"/>
    <x v="1"/>
    <x v="2"/>
    <x v="3"/>
    <n v="1"/>
    <n v="42.28"/>
    <x v="2"/>
  </r>
  <r>
    <d v="2023-07-01T00:00:00"/>
    <s v="S23"/>
    <s v="S"/>
    <x v="1"/>
    <x v="2"/>
    <x v="4"/>
    <n v="1.0629"/>
    <n v="44.94"/>
    <x v="2"/>
  </r>
  <r>
    <d v="2023-07-01T00:00:00"/>
    <s v="S23"/>
    <s v="S"/>
    <x v="1"/>
    <x v="2"/>
    <x v="5"/>
    <n v="1"/>
    <n v="42.28"/>
    <x v="2"/>
  </r>
  <r>
    <d v="2023-07-01T00:00:00"/>
    <s v="S24"/>
    <s v="S"/>
    <x v="1"/>
    <x v="3"/>
    <x v="0"/>
    <n v="1"/>
    <n v="48.78"/>
    <x v="2"/>
  </r>
  <r>
    <d v="2023-07-01T00:00:00"/>
    <s v="S24"/>
    <s v="S"/>
    <x v="1"/>
    <x v="3"/>
    <x v="1"/>
    <n v="1.0789"/>
    <n v="52.63"/>
    <x v="2"/>
  </r>
  <r>
    <d v="2023-07-01T00:00:00"/>
    <s v="S24"/>
    <s v="S"/>
    <x v="1"/>
    <x v="3"/>
    <x v="2"/>
    <n v="1"/>
    <n v="48.78"/>
    <x v="2"/>
  </r>
  <r>
    <d v="2023-07-01T00:00:00"/>
    <s v="S24"/>
    <s v="S"/>
    <x v="1"/>
    <x v="3"/>
    <x v="3"/>
    <n v="1"/>
    <n v="48.78"/>
    <x v="2"/>
  </r>
  <r>
    <d v="2023-07-01T00:00:00"/>
    <s v="S24"/>
    <s v="S"/>
    <x v="1"/>
    <x v="3"/>
    <x v="4"/>
    <n v="1.0629"/>
    <n v="51.85"/>
    <x v="2"/>
  </r>
  <r>
    <d v="2023-07-01T00:00:00"/>
    <s v="S24"/>
    <s v="S"/>
    <x v="1"/>
    <x v="3"/>
    <x v="5"/>
    <n v="1"/>
    <n v="48.78"/>
    <x v="2"/>
  </r>
  <r>
    <d v="2023-07-01T00:00:00"/>
    <s v="S25"/>
    <s v="S"/>
    <x v="1"/>
    <x v="4"/>
    <x v="0"/>
    <n v="1"/>
    <n v="54.56"/>
    <x v="2"/>
  </r>
  <r>
    <d v="2023-07-01T00:00:00"/>
    <s v="S25"/>
    <s v="S"/>
    <x v="1"/>
    <x v="4"/>
    <x v="1"/>
    <n v="1.0789"/>
    <n v="58.86"/>
    <x v="2"/>
  </r>
  <r>
    <d v="2023-07-01T00:00:00"/>
    <s v="S25"/>
    <s v="S"/>
    <x v="1"/>
    <x v="4"/>
    <x v="2"/>
    <n v="1"/>
    <n v="54.56"/>
    <x v="2"/>
  </r>
  <r>
    <d v="2023-07-01T00:00:00"/>
    <s v="S25"/>
    <s v="S"/>
    <x v="1"/>
    <x v="4"/>
    <x v="3"/>
    <n v="1"/>
    <n v="54.56"/>
    <x v="2"/>
  </r>
  <r>
    <d v="2023-07-01T00:00:00"/>
    <s v="S25"/>
    <s v="S"/>
    <x v="1"/>
    <x v="4"/>
    <x v="4"/>
    <n v="1.0629"/>
    <n v="57.99"/>
    <x v="2"/>
  </r>
  <r>
    <d v="2023-07-01T00:00:00"/>
    <s v="S25"/>
    <s v="S"/>
    <x v="1"/>
    <x v="4"/>
    <x v="5"/>
    <n v="1"/>
    <n v="54.56"/>
    <x v="2"/>
  </r>
  <r>
    <d v="2023-07-01T00:00:00"/>
    <s v="S31"/>
    <s v="S"/>
    <x v="2"/>
    <x v="0"/>
    <x v="0"/>
    <n v="1"/>
    <n v="45.32"/>
    <x v="2"/>
  </r>
  <r>
    <d v="2023-07-01T00:00:00"/>
    <s v="S31"/>
    <s v="S"/>
    <x v="2"/>
    <x v="0"/>
    <x v="1"/>
    <n v="1.0789"/>
    <n v="48.9"/>
    <x v="2"/>
  </r>
  <r>
    <d v="2023-07-01T00:00:00"/>
    <s v="S31"/>
    <s v="S"/>
    <x v="2"/>
    <x v="0"/>
    <x v="2"/>
    <n v="1"/>
    <n v="45.32"/>
    <x v="2"/>
  </r>
  <r>
    <d v="2023-07-01T00:00:00"/>
    <s v="S31"/>
    <s v="S"/>
    <x v="2"/>
    <x v="0"/>
    <x v="3"/>
    <n v="1"/>
    <n v="45.32"/>
    <x v="2"/>
  </r>
  <r>
    <d v="2023-07-01T00:00:00"/>
    <s v="S31"/>
    <s v="S"/>
    <x v="2"/>
    <x v="0"/>
    <x v="4"/>
    <n v="1.0629"/>
    <n v="48.17"/>
    <x v="2"/>
  </r>
  <r>
    <d v="2023-07-01T00:00:00"/>
    <s v="S31"/>
    <s v="S"/>
    <x v="2"/>
    <x v="0"/>
    <x v="5"/>
    <n v="1"/>
    <n v="45.32"/>
    <x v="2"/>
  </r>
  <r>
    <d v="2023-07-01T00:00:00"/>
    <s v="S32"/>
    <s v="S"/>
    <x v="2"/>
    <x v="1"/>
    <x v="0"/>
    <n v="1"/>
    <n v="48.34"/>
    <x v="2"/>
  </r>
  <r>
    <d v="2023-07-01T00:00:00"/>
    <s v="S32"/>
    <s v="S"/>
    <x v="2"/>
    <x v="1"/>
    <x v="1"/>
    <n v="1.0789"/>
    <n v="52.15"/>
    <x v="2"/>
  </r>
  <r>
    <d v="2023-07-01T00:00:00"/>
    <s v="S32"/>
    <s v="S"/>
    <x v="2"/>
    <x v="1"/>
    <x v="2"/>
    <n v="1"/>
    <n v="48.34"/>
    <x v="2"/>
  </r>
  <r>
    <d v="2023-07-01T00:00:00"/>
    <s v="S32"/>
    <s v="S"/>
    <x v="2"/>
    <x v="1"/>
    <x v="3"/>
    <n v="1"/>
    <n v="48.34"/>
    <x v="2"/>
  </r>
  <r>
    <d v="2023-07-01T00:00:00"/>
    <s v="S32"/>
    <s v="S"/>
    <x v="2"/>
    <x v="1"/>
    <x v="4"/>
    <n v="1.0629"/>
    <n v="51.38"/>
    <x v="2"/>
  </r>
  <r>
    <d v="2023-07-01T00:00:00"/>
    <s v="S32"/>
    <s v="S"/>
    <x v="2"/>
    <x v="1"/>
    <x v="5"/>
    <n v="1"/>
    <n v="48.34"/>
    <x v="2"/>
  </r>
  <r>
    <d v="2023-07-01T00:00:00"/>
    <s v="S33"/>
    <s v="S"/>
    <x v="2"/>
    <x v="2"/>
    <x v="0"/>
    <n v="1"/>
    <n v="53.2"/>
    <x v="2"/>
  </r>
  <r>
    <d v="2023-07-01T00:00:00"/>
    <s v="S33"/>
    <s v="S"/>
    <x v="2"/>
    <x v="2"/>
    <x v="1"/>
    <n v="1.0789"/>
    <n v="57.4"/>
    <x v="2"/>
  </r>
  <r>
    <d v="2023-07-01T00:00:00"/>
    <s v="S33"/>
    <s v="S"/>
    <x v="2"/>
    <x v="2"/>
    <x v="2"/>
    <n v="1"/>
    <n v="53.2"/>
    <x v="2"/>
  </r>
  <r>
    <d v="2023-07-01T00:00:00"/>
    <s v="S33"/>
    <s v="S"/>
    <x v="2"/>
    <x v="2"/>
    <x v="3"/>
    <n v="1"/>
    <n v="53.2"/>
    <x v="2"/>
  </r>
  <r>
    <d v="2023-07-01T00:00:00"/>
    <s v="S33"/>
    <s v="S"/>
    <x v="2"/>
    <x v="2"/>
    <x v="4"/>
    <n v="1.0629"/>
    <n v="56.55"/>
    <x v="2"/>
  </r>
  <r>
    <d v="2023-07-01T00:00:00"/>
    <s v="S33"/>
    <s v="S"/>
    <x v="2"/>
    <x v="2"/>
    <x v="5"/>
    <n v="1"/>
    <n v="53.2"/>
    <x v="2"/>
  </r>
  <r>
    <d v="2023-07-01T00:00:00"/>
    <s v="S34"/>
    <s v="S"/>
    <x v="2"/>
    <x v="3"/>
    <x v="0"/>
    <n v="1"/>
    <n v="59.72"/>
    <x v="2"/>
  </r>
  <r>
    <d v="2023-07-01T00:00:00"/>
    <s v="S34"/>
    <s v="S"/>
    <x v="2"/>
    <x v="3"/>
    <x v="1"/>
    <n v="1.0789"/>
    <n v="64.430000000000007"/>
    <x v="2"/>
  </r>
  <r>
    <d v="2023-07-01T00:00:00"/>
    <s v="S34"/>
    <s v="S"/>
    <x v="2"/>
    <x v="3"/>
    <x v="2"/>
    <n v="1"/>
    <n v="59.72"/>
    <x v="2"/>
  </r>
  <r>
    <d v="2023-07-01T00:00:00"/>
    <s v="S34"/>
    <s v="S"/>
    <x v="2"/>
    <x v="3"/>
    <x v="3"/>
    <n v="1"/>
    <n v="59.72"/>
    <x v="2"/>
  </r>
  <r>
    <d v="2023-07-01T00:00:00"/>
    <s v="S34"/>
    <s v="S"/>
    <x v="2"/>
    <x v="3"/>
    <x v="4"/>
    <n v="1.0629"/>
    <n v="63.48"/>
    <x v="2"/>
  </r>
  <r>
    <d v="2023-07-01T00:00:00"/>
    <s v="S34"/>
    <s v="S"/>
    <x v="2"/>
    <x v="3"/>
    <x v="5"/>
    <n v="1"/>
    <n v="59.72"/>
    <x v="2"/>
  </r>
  <r>
    <d v="2023-07-01T00:00:00"/>
    <s v="S35"/>
    <s v="S"/>
    <x v="2"/>
    <x v="4"/>
    <x v="0"/>
    <n v="1"/>
    <n v="65.489999999999995"/>
    <x v="2"/>
  </r>
  <r>
    <d v="2023-07-01T00:00:00"/>
    <s v="S35"/>
    <s v="S"/>
    <x v="2"/>
    <x v="4"/>
    <x v="1"/>
    <n v="1.0789"/>
    <n v="70.66"/>
    <x v="2"/>
  </r>
  <r>
    <d v="2023-07-01T00:00:00"/>
    <s v="S35"/>
    <s v="S"/>
    <x v="2"/>
    <x v="4"/>
    <x v="2"/>
    <n v="1"/>
    <n v="65.489999999999995"/>
    <x v="2"/>
  </r>
  <r>
    <d v="2023-07-01T00:00:00"/>
    <s v="S35"/>
    <s v="S"/>
    <x v="2"/>
    <x v="4"/>
    <x v="3"/>
    <n v="1"/>
    <n v="65.489999999999995"/>
    <x v="2"/>
  </r>
  <r>
    <d v="2023-07-01T00:00:00"/>
    <s v="S35"/>
    <s v="S"/>
    <x v="2"/>
    <x v="4"/>
    <x v="4"/>
    <n v="1.0629"/>
    <n v="69.61"/>
    <x v="2"/>
  </r>
  <r>
    <d v="2023-07-01T00:00:00"/>
    <s v="S35"/>
    <s v="S"/>
    <x v="2"/>
    <x v="4"/>
    <x v="5"/>
    <n v="1"/>
    <n v="65.489999999999995"/>
    <x v="2"/>
  </r>
  <r>
    <d v="2023-07-01T00:00:00"/>
    <s v="S41"/>
    <s v="S"/>
    <x v="3"/>
    <x v="0"/>
    <x v="0"/>
    <n v="1"/>
    <n v="56.54"/>
    <x v="2"/>
  </r>
  <r>
    <d v="2023-07-01T00:00:00"/>
    <s v="S41"/>
    <s v="S"/>
    <x v="3"/>
    <x v="0"/>
    <x v="1"/>
    <n v="1.0789"/>
    <n v="61"/>
    <x v="2"/>
  </r>
  <r>
    <d v="2023-07-01T00:00:00"/>
    <s v="S41"/>
    <s v="S"/>
    <x v="3"/>
    <x v="0"/>
    <x v="2"/>
    <n v="1"/>
    <n v="56.54"/>
    <x v="2"/>
  </r>
  <r>
    <d v="2023-07-01T00:00:00"/>
    <s v="S41"/>
    <s v="S"/>
    <x v="3"/>
    <x v="0"/>
    <x v="3"/>
    <n v="1"/>
    <n v="56.54"/>
    <x v="2"/>
  </r>
  <r>
    <d v="2023-07-01T00:00:00"/>
    <s v="S41"/>
    <s v="S"/>
    <x v="3"/>
    <x v="0"/>
    <x v="4"/>
    <n v="1.0629"/>
    <n v="60.1"/>
    <x v="2"/>
  </r>
  <r>
    <d v="2023-07-01T00:00:00"/>
    <s v="S41"/>
    <s v="S"/>
    <x v="3"/>
    <x v="0"/>
    <x v="5"/>
    <n v="1"/>
    <n v="56.54"/>
    <x v="2"/>
  </r>
  <r>
    <d v="2023-07-01T00:00:00"/>
    <s v="S42"/>
    <s v="S"/>
    <x v="3"/>
    <x v="1"/>
    <x v="0"/>
    <n v="1"/>
    <n v="59.56"/>
    <x v="2"/>
  </r>
  <r>
    <d v="2023-07-01T00:00:00"/>
    <s v="S42"/>
    <s v="S"/>
    <x v="3"/>
    <x v="1"/>
    <x v="1"/>
    <n v="1.0789"/>
    <n v="64.260000000000005"/>
    <x v="2"/>
  </r>
  <r>
    <d v="2023-07-01T00:00:00"/>
    <s v="S42"/>
    <s v="S"/>
    <x v="3"/>
    <x v="1"/>
    <x v="2"/>
    <n v="1"/>
    <n v="59.56"/>
    <x v="2"/>
  </r>
  <r>
    <d v="2023-07-01T00:00:00"/>
    <s v="S42"/>
    <s v="S"/>
    <x v="3"/>
    <x v="1"/>
    <x v="3"/>
    <n v="1"/>
    <n v="59.56"/>
    <x v="2"/>
  </r>
  <r>
    <d v="2023-07-01T00:00:00"/>
    <s v="S42"/>
    <s v="S"/>
    <x v="3"/>
    <x v="1"/>
    <x v="4"/>
    <n v="1.0629"/>
    <n v="63.31"/>
    <x v="2"/>
  </r>
  <r>
    <d v="2023-07-01T00:00:00"/>
    <s v="S42"/>
    <s v="S"/>
    <x v="3"/>
    <x v="1"/>
    <x v="5"/>
    <n v="1"/>
    <n v="59.56"/>
    <x v="2"/>
  </r>
  <r>
    <d v="2023-07-01T00:00:00"/>
    <s v="S43"/>
    <s v="S"/>
    <x v="3"/>
    <x v="2"/>
    <x v="0"/>
    <n v="1"/>
    <n v="64.42"/>
    <x v="2"/>
  </r>
  <r>
    <d v="2023-07-01T00:00:00"/>
    <s v="S43"/>
    <s v="S"/>
    <x v="3"/>
    <x v="2"/>
    <x v="1"/>
    <n v="1.0789"/>
    <n v="69.5"/>
    <x v="2"/>
  </r>
  <r>
    <d v="2023-07-01T00:00:00"/>
    <s v="S43"/>
    <s v="S"/>
    <x v="3"/>
    <x v="2"/>
    <x v="2"/>
    <n v="1"/>
    <n v="64.42"/>
    <x v="2"/>
  </r>
  <r>
    <d v="2023-07-01T00:00:00"/>
    <s v="S43"/>
    <s v="S"/>
    <x v="3"/>
    <x v="2"/>
    <x v="3"/>
    <n v="1"/>
    <n v="64.42"/>
    <x v="2"/>
  </r>
  <r>
    <d v="2023-07-01T00:00:00"/>
    <s v="S43"/>
    <s v="S"/>
    <x v="3"/>
    <x v="2"/>
    <x v="4"/>
    <n v="1.0629"/>
    <n v="68.47"/>
    <x v="2"/>
  </r>
  <r>
    <d v="2023-07-01T00:00:00"/>
    <s v="S43"/>
    <s v="S"/>
    <x v="3"/>
    <x v="2"/>
    <x v="5"/>
    <n v="1"/>
    <n v="64.42"/>
    <x v="2"/>
  </r>
  <r>
    <d v="2023-07-01T00:00:00"/>
    <s v="S44"/>
    <s v="S"/>
    <x v="3"/>
    <x v="3"/>
    <x v="0"/>
    <n v="1"/>
    <n v="70.98"/>
    <x v="2"/>
  </r>
  <r>
    <d v="2023-07-01T00:00:00"/>
    <s v="S44"/>
    <s v="S"/>
    <x v="3"/>
    <x v="3"/>
    <x v="1"/>
    <n v="1.0789"/>
    <n v="76.58"/>
    <x v="2"/>
  </r>
  <r>
    <d v="2023-07-01T00:00:00"/>
    <s v="S44"/>
    <s v="S"/>
    <x v="3"/>
    <x v="3"/>
    <x v="2"/>
    <n v="1"/>
    <n v="70.98"/>
    <x v="2"/>
  </r>
  <r>
    <d v="2023-07-01T00:00:00"/>
    <s v="S44"/>
    <s v="S"/>
    <x v="3"/>
    <x v="3"/>
    <x v="3"/>
    <n v="1"/>
    <n v="70.98"/>
    <x v="2"/>
  </r>
  <r>
    <d v="2023-07-01T00:00:00"/>
    <s v="S44"/>
    <s v="S"/>
    <x v="3"/>
    <x v="3"/>
    <x v="4"/>
    <n v="1.0629"/>
    <n v="75.44"/>
    <x v="2"/>
  </r>
  <r>
    <d v="2023-07-01T00:00:00"/>
    <s v="S44"/>
    <s v="S"/>
    <x v="3"/>
    <x v="3"/>
    <x v="5"/>
    <n v="1"/>
    <n v="70.98"/>
    <x v="2"/>
  </r>
  <r>
    <d v="2023-07-01T00:00:00"/>
    <s v="S45"/>
    <s v="S"/>
    <x v="3"/>
    <x v="4"/>
    <x v="0"/>
    <n v="1"/>
    <n v="76.72"/>
    <x v="2"/>
  </r>
  <r>
    <d v="2023-07-01T00:00:00"/>
    <s v="S45"/>
    <s v="S"/>
    <x v="3"/>
    <x v="4"/>
    <x v="1"/>
    <n v="1.0789"/>
    <n v="82.77"/>
    <x v="2"/>
  </r>
  <r>
    <d v="2023-07-01T00:00:00"/>
    <s v="S45"/>
    <s v="S"/>
    <x v="3"/>
    <x v="4"/>
    <x v="2"/>
    <n v="1"/>
    <n v="76.72"/>
    <x v="2"/>
  </r>
  <r>
    <d v="2023-07-01T00:00:00"/>
    <s v="S45"/>
    <s v="S"/>
    <x v="3"/>
    <x v="4"/>
    <x v="3"/>
    <n v="1"/>
    <n v="76.72"/>
    <x v="2"/>
  </r>
  <r>
    <d v="2023-07-01T00:00:00"/>
    <s v="S45"/>
    <s v="S"/>
    <x v="3"/>
    <x v="4"/>
    <x v="4"/>
    <n v="1.0629"/>
    <n v="81.55"/>
    <x v="2"/>
  </r>
  <r>
    <d v="2023-07-01T00:00:00"/>
    <s v="S45"/>
    <s v="S"/>
    <x v="3"/>
    <x v="4"/>
    <x v="5"/>
    <n v="1"/>
    <n v="76.72"/>
    <x v="2"/>
  </r>
  <r>
    <d v="2023-07-01T00:00:00"/>
    <s v="S51"/>
    <s v="S"/>
    <x v="4"/>
    <x v="0"/>
    <x v="0"/>
    <n v="1"/>
    <n v="78.739999999999995"/>
    <x v="2"/>
  </r>
  <r>
    <d v="2023-07-01T00:00:00"/>
    <s v="S51"/>
    <s v="S"/>
    <x v="4"/>
    <x v="0"/>
    <x v="1"/>
    <n v="1.0789"/>
    <n v="84.95"/>
    <x v="2"/>
  </r>
  <r>
    <d v="2023-07-01T00:00:00"/>
    <s v="S51"/>
    <s v="S"/>
    <x v="4"/>
    <x v="0"/>
    <x v="2"/>
    <n v="1"/>
    <n v="78.739999999999995"/>
    <x v="2"/>
  </r>
  <r>
    <d v="2023-07-01T00:00:00"/>
    <s v="S51"/>
    <s v="S"/>
    <x v="4"/>
    <x v="0"/>
    <x v="3"/>
    <n v="1"/>
    <n v="78.739999999999995"/>
    <x v="2"/>
  </r>
  <r>
    <d v="2023-07-01T00:00:00"/>
    <s v="S51"/>
    <s v="S"/>
    <x v="4"/>
    <x v="0"/>
    <x v="4"/>
    <n v="1.0629"/>
    <n v="83.69"/>
    <x v="2"/>
  </r>
  <r>
    <d v="2023-07-01T00:00:00"/>
    <s v="S51"/>
    <s v="S"/>
    <x v="4"/>
    <x v="0"/>
    <x v="5"/>
    <n v="1"/>
    <n v="78.739999999999995"/>
    <x v="2"/>
  </r>
  <r>
    <d v="2023-07-01T00:00:00"/>
    <s v="S52"/>
    <s v="S"/>
    <x v="4"/>
    <x v="1"/>
    <x v="0"/>
    <n v="1"/>
    <n v="81.73"/>
    <x v="2"/>
  </r>
  <r>
    <d v="2023-07-01T00:00:00"/>
    <s v="S52"/>
    <s v="S"/>
    <x v="4"/>
    <x v="1"/>
    <x v="1"/>
    <n v="1.0789"/>
    <n v="88.18"/>
    <x v="2"/>
  </r>
  <r>
    <d v="2023-07-01T00:00:00"/>
    <s v="S52"/>
    <s v="S"/>
    <x v="4"/>
    <x v="1"/>
    <x v="2"/>
    <n v="1"/>
    <n v="81.73"/>
    <x v="2"/>
  </r>
  <r>
    <d v="2023-07-01T00:00:00"/>
    <s v="S52"/>
    <s v="S"/>
    <x v="4"/>
    <x v="1"/>
    <x v="3"/>
    <n v="1"/>
    <n v="81.73"/>
    <x v="2"/>
  </r>
  <r>
    <d v="2023-07-01T00:00:00"/>
    <s v="S52"/>
    <s v="S"/>
    <x v="4"/>
    <x v="1"/>
    <x v="4"/>
    <n v="1.0629"/>
    <n v="86.87"/>
    <x v="2"/>
  </r>
  <r>
    <d v="2023-07-01T00:00:00"/>
    <s v="S52"/>
    <s v="S"/>
    <x v="4"/>
    <x v="1"/>
    <x v="5"/>
    <n v="1"/>
    <n v="81.73"/>
    <x v="2"/>
  </r>
  <r>
    <d v="2023-07-01T00:00:00"/>
    <s v="S53"/>
    <s v="S"/>
    <x v="4"/>
    <x v="2"/>
    <x v="0"/>
    <n v="1"/>
    <n v="86.58"/>
    <x v="2"/>
  </r>
  <r>
    <d v="2023-07-01T00:00:00"/>
    <s v="S53"/>
    <s v="S"/>
    <x v="4"/>
    <x v="2"/>
    <x v="1"/>
    <n v="1.0789"/>
    <n v="93.41"/>
    <x v="2"/>
  </r>
  <r>
    <d v="2023-07-01T00:00:00"/>
    <s v="S53"/>
    <s v="S"/>
    <x v="4"/>
    <x v="2"/>
    <x v="2"/>
    <n v="1"/>
    <n v="86.58"/>
    <x v="2"/>
  </r>
  <r>
    <d v="2023-07-01T00:00:00"/>
    <s v="S53"/>
    <s v="S"/>
    <x v="4"/>
    <x v="2"/>
    <x v="3"/>
    <n v="1"/>
    <n v="86.58"/>
    <x v="2"/>
  </r>
  <r>
    <d v="2023-07-01T00:00:00"/>
    <s v="S53"/>
    <s v="S"/>
    <x v="4"/>
    <x v="2"/>
    <x v="4"/>
    <n v="1.0629"/>
    <n v="92.03"/>
    <x v="2"/>
  </r>
  <r>
    <d v="2023-07-01T00:00:00"/>
    <s v="S53"/>
    <s v="S"/>
    <x v="4"/>
    <x v="2"/>
    <x v="5"/>
    <n v="1"/>
    <n v="86.58"/>
    <x v="2"/>
  </r>
  <r>
    <d v="2023-07-01T00:00:00"/>
    <s v="S54"/>
    <s v="S"/>
    <x v="4"/>
    <x v="3"/>
    <x v="0"/>
    <n v="1"/>
    <n v="93.13"/>
    <x v="2"/>
  </r>
  <r>
    <d v="2023-07-01T00:00:00"/>
    <s v="S54"/>
    <s v="S"/>
    <x v="4"/>
    <x v="3"/>
    <x v="1"/>
    <n v="1.0789"/>
    <n v="100.48"/>
    <x v="2"/>
  </r>
  <r>
    <d v="2023-07-01T00:00:00"/>
    <s v="S54"/>
    <s v="S"/>
    <x v="4"/>
    <x v="3"/>
    <x v="2"/>
    <n v="1"/>
    <n v="93.13"/>
    <x v="2"/>
  </r>
  <r>
    <d v="2023-07-01T00:00:00"/>
    <s v="S54"/>
    <s v="S"/>
    <x v="4"/>
    <x v="3"/>
    <x v="3"/>
    <n v="1"/>
    <n v="93.13"/>
    <x v="2"/>
  </r>
  <r>
    <d v="2023-07-01T00:00:00"/>
    <s v="S54"/>
    <s v="S"/>
    <x v="4"/>
    <x v="3"/>
    <x v="4"/>
    <n v="1.0629"/>
    <n v="98.99"/>
    <x v="2"/>
  </r>
  <r>
    <d v="2023-07-01T00:00:00"/>
    <s v="S54"/>
    <s v="S"/>
    <x v="4"/>
    <x v="3"/>
    <x v="5"/>
    <n v="1"/>
    <n v="93.13"/>
    <x v="2"/>
  </r>
  <r>
    <d v="2023-07-01T00:00:00"/>
    <s v="S55"/>
    <s v="S"/>
    <x v="4"/>
    <x v="4"/>
    <x v="0"/>
    <n v="1"/>
    <n v="98.89"/>
    <x v="2"/>
  </r>
  <r>
    <d v="2023-07-01T00:00:00"/>
    <s v="S55"/>
    <s v="S"/>
    <x v="4"/>
    <x v="4"/>
    <x v="1"/>
    <n v="1.0789"/>
    <n v="106.69"/>
    <x v="2"/>
  </r>
  <r>
    <d v="2023-07-01T00:00:00"/>
    <s v="S55"/>
    <s v="S"/>
    <x v="4"/>
    <x v="4"/>
    <x v="2"/>
    <n v="1"/>
    <n v="98.89"/>
    <x v="2"/>
  </r>
  <r>
    <d v="2023-07-01T00:00:00"/>
    <s v="S55"/>
    <s v="S"/>
    <x v="4"/>
    <x v="4"/>
    <x v="3"/>
    <n v="1"/>
    <n v="98.89"/>
    <x v="2"/>
  </r>
  <r>
    <d v="2023-07-01T00:00:00"/>
    <s v="S55"/>
    <s v="S"/>
    <x v="4"/>
    <x v="4"/>
    <x v="4"/>
    <n v="1.0629"/>
    <n v="105.11"/>
    <x v="2"/>
  </r>
  <r>
    <d v="2023-07-01T00:00:00"/>
    <s v="S55"/>
    <s v="S"/>
    <x v="4"/>
    <x v="4"/>
    <x v="5"/>
    <n v="1"/>
    <n v="98.89"/>
    <x v="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n v="50.32"/>
  </r>
  <r>
    <x v="1"/>
    <n v="90.89"/>
  </r>
  <r>
    <x v="2"/>
    <n v="50.32"/>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
  <r>
    <x v="0"/>
    <x v="0"/>
    <m/>
    <n v="30.36"/>
    <n v="44.77"/>
    <x v="0"/>
  </r>
  <r>
    <x v="1"/>
    <x v="1"/>
    <n v="27.15"/>
    <n v="27.15"/>
    <n v="44.77"/>
    <x v="0"/>
  </r>
  <r>
    <x v="2"/>
    <x v="2"/>
    <m/>
    <n v="30.36"/>
    <n v="44.77"/>
    <x v="0"/>
  </r>
  <r>
    <x v="1"/>
    <x v="0"/>
    <m/>
    <n v="32.17"/>
    <n v="47.92"/>
    <x v="1"/>
  </r>
  <r>
    <x v="0"/>
    <x v="1"/>
    <n v="28.94"/>
    <n v="28.94"/>
    <n v="47.92"/>
    <x v="1"/>
  </r>
  <r>
    <x v="2"/>
    <x v="2"/>
    <m/>
    <n v="32.17"/>
    <n v="47.92"/>
    <x v="1"/>
  </r>
  <r>
    <x v="0"/>
    <x v="0"/>
    <m/>
    <n v="30.36"/>
    <n v="44.77"/>
    <x v="2"/>
  </r>
  <r>
    <x v="1"/>
    <x v="1"/>
    <n v="27.15"/>
    <n v="27.15"/>
    <n v="44.77"/>
    <x v="2"/>
  </r>
  <r>
    <x v="2"/>
    <x v="2"/>
    <m/>
    <n v="30.36"/>
    <n v="44.77"/>
    <x v="2"/>
  </r>
  <r>
    <x v="0"/>
    <x v="0"/>
    <m/>
    <n v="30.36"/>
    <n v="44.77"/>
    <x v="3"/>
  </r>
  <r>
    <x v="1"/>
    <x v="1"/>
    <n v="27.15"/>
    <n v="27.15"/>
    <n v="44.77"/>
    <x v="3"/>
  </r>
  <r>
    <x v="2"/>
    <x v="2"/>
    <m/>
    <n v="30.36"/>
    <n v="44.77"/>
    <x v="3"/>
  </r>
  <r>
    <x v="0"/>
    <x v="0"/>
    <m/>
    <n v="31.8"/>
    <n v="47.29"/>
    <x v="4"/>
  </r>
  <r>
    <x v="1"/>
    <x v="1"/>
    <n v="28.58"/>
    <n v="28.58"/>
    <n v="47.29"/>
    <x v="4"/>
  </r>
  <r>
    <x v="2"/>
    <x v="2"/>
    <m/>
    <n v="31.8"/>
    <n v="47.29"/>
    <x v="4"/>
  </r>
  <r>
    <x v="0"/>
    <x v="0"/>
    <m/>
    <n v="30.36"/>
    <n v="44.77"/>
    <x v="5"/>
  </r>
  <r>
    <x v="1"/>
    <x v="1"/>
    <n v="27.15"/>
    <n v="27.15"/>
    <n v="44.77"/>
    <x v="5"/>
  </r>
  <r>
    <x v="2"/>
    <x v="2"/>
    <m/>
    <n v="30.36"/>
    <n v="44.77"/>
    <x v="5"/>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s v="BSS - Behavioral Assessment CP Traditional"/>
    <x v="0"/>
    <x v="0"/>
    <x v="0"/>
    <s v="Milestone"/>
    <x v="0"/>
    <d v="2023-06-30T00:00:00"/>
    <n v="1595.74"/>
    <x v="0"/>
    <s v="Y"/>
  </r>
  <r>
    <s v="BSS - Behavioral Assessment CP Traditional"/>
    <x v="0"/>
    <x v="0"/>
    <x v="0"/>
    <s v="Milestone"/>
    <x v="1"/>
    <d v="2024-06-30T00:00:00"/>
    <n v="1659.57"/>
    <x v="0"/>
    <s v="Y"/>
  </r>
  <r>
    <s v="BSS - Behavioral Assessment CS Self-Direction"/>
    <x v="1"/>
    <x v="1"/>
    <x v="1"/>
    <s v="Milestone"/>
    <x v="0"/>
    <d v="2023-06-30T00:00:00"/>
    <n v="1595.74"/>
    <x v="0"/>
    <s v="Y"/>
  </r>
  <r>
    <s v="BSS - Behavioral Assessment CS Self-Direction"/>
    <x v="1"/>
    <x v="1"/>
    <x v="1"/>
    <s v="Milestone"/>
    <x v="1"/>
    <d v="2024-06-30T00:00:00"/>
    <n v="1659.57"/>
    <x v="0"/>
    <s v="Y"/>
  </r>
  <r>
    <s v="BSS - Behavioral Assessment CS Traditional"/>
    <x v="2"/>
    <x v="1"/>
    <x v="0"/>
    <s v="Milestone"/>
    <x v="0"/>
    <d v="2023-06-30T00:00:00"/>
    <n v="1595.74"/>
    <x v="0"/>
    <s v="Y"/>
  </r>
  <r>
    <s v="BSS - Behavioral Assessment CS Traditional"/>
    <x v="2"/>
    <x v="1"/>
    <x v="0"/>
    <s v="Milestone"/>
    <x v="1"/>
    <d v="2024-06-30T00:00:00"/>
    <n v="1659.57"/>
    <x v="0"/>
    <s v="Y"/>
  </r>
  <r>
    <s v="BSS - Behavioral Assessment FS Self-Direction"/>
    <x v="3"/>
    <x v="2"/>
    <x v="1"/>
    <s v="Milestone"/>
    <x v="0"/>
    <d v="2023-06-30T00:00:00"/>
    <n v="1595.74"/>
    <x v="0"/>
    <s v="Y"/>
  </r>
  <r>
    <s v="BSS - Behavioral Assessment FS Self-Direction"/>
    <x v="3"/>
    <x v="2"/>
    <x v="1"/>
    <s v="Milestone"/>
    <x v="1"/>
    <d v="2024-06-30T00:00:00"/>
    <n v="1659.57"/>
    <x v="0"/>
    <s v="Y"/>
  </r>
  <r>
    <s v="BSS - Behavioral Assessment FS Traditional"/>
    <x v="4"/>
    <x v="2"/>
    <x v="0"/>
    <s v="Milestone"/>
    <x v="0"/>
    <d v="2023-06-30T00:00:00"/>
    <n v="1595.74"/>
    <x v="0"/>
    <s v="Y"/>
  </r>
  <r>
    <s v="BSS - Behavioral Assessment FS Traditional"/>
    <x v="4"/>
    <x v="2"/>
    <x v="0"/>
    <s v="Milestone"/>
    <x v="1"/>
    <d v="2024-06-30T00:00:00"/>
    <n v="1659.57"/>
    <x v="0"/>
    <s v="Y"/>
  </r>
  <r>
    <s v="BSS - Behavioral Consultation CP Self-Direction"/>
    <x v="5"/>
    <x v="0"/>
    <x v="1"/>
    <s v="Quarter Hour"/>
    <x v="0"/>
    <d v="2023-06-30T00:00:00"/>
    <n v="36.299999999999997"/>
    <x v="0"/>
    <s v="Y"/>
  </r>
  <r>
    <s v="BSS - Behavioral Consultation CP Self-Direction"/>
    <x v="5"/>
    <x v="0"/>
    <x v="1"/>
    <s v="Quarter Hour"/>
    <x v="1"/>
    <d v="2024-06-30T00:00:00"/>
    <n v="37.75"/>
    <x v="0"/>
    <s v="Y"/>
  </r>
  <r>
    <s v="BSS - Behavioral Consultation CP Traditional"/>
    <x v="6"/>
    <x v="0"/>
    <x v="0"/>
    <s v="Quarter Hour"/>
    <x v="0"/>
    <d v="2023-06-30T00:00:00"/>
    <n v="36.299999999999997"/>
    <x v="0"/>
    <s v="Y"/>
  </r>
  <r>
    <s v="BSS - Behavioral Consultation CP Traditional"/>
    <x v="6"/>
    <x v="0"/>
    <x v="0"/>
    <s v="Quarter Hour"/>
    <x v="1"/>
    <d v="2024-06-30T00:00:00"/>
    <n v="37.75"/>
    <x v="0"/>
    <s v="Y"/>
  </r>
  <r>
    <s v="BSS - Behavioral Consultation CS Self-Direction"/>
    <x v="7"/>
    <x v="1"/>
    <x v="1"/>
    <s v="Quarter Hour"/>
    <x v="0"/>
    <d v="2023-06-30T00:00:00"/>
    <n v="36.299999999999997"/>
    <x v="0"/>
    <s v="Y"/>
  </r>
  <r>
    <s v="BSS - Behavioral Consultation CS Self-Direction"/>
    <x v="7"/>
    <x v="1"/>
    <x v="1"/>
    <s v="Quarter Hour"/>
    <x v="1"/>
    <d v="2024-06-30T00:00:00"/>
    <n v="37.75"/>
    <x v="0"/>
    <s v="Y"/>
  </r>
  <r>
    <s v="BSS - Behavioral Consultation CS Traditional - Quarter Hour"/>
    <x v="8"/>
    <x v="1"/>
    <x v="0"/>
    <s v="Quarter Hour"/>
    <x v="0"/>
    <d v="2023-06-30T00:00:00"/>
    <n v="36.299999999999997"/>
    <x v="0"/>
    <s v="Y"/>
  </r>
  <r>
    <s v="BSS - Behavioral Consultation CS Traditional - Quarter Hour"/>
    <x v="8"/>
    <x v="1"/>
    <x v="0"/>
    <s v="Quarter Hour"/>
    <x v="1"/>
    <d v="2024-06-30T00:00:00"/>
    <n v="37.75"/>
    <x v="0"/>
    <s v="Y"/>
  </r>
  <r>
    <s v="BSS - Behavioral Consultation FS Self-Direction"/>
    <x v="9"/>
    <x v="2"/>
    <x v="1"/>
    <s v="Quarter Hour"/>
    <x v="0"/>
    <d v="2023-06-30T00:00:00"/>
    <n v="36.299999999999997"/>
    <x v="0"/>
    <s v="Y"/>
  </r>
  <r>
    <s v="BSS - Behavioral Consultation FS Self-Direction"/>
    <x v="9"/>
    <x v="2"/>
    <x v="1"/>
    <s v="Quarter Hour"/>
    <x v="1"/>
    <d v="2024-06-30T00:00:00"/>
    <n v="37.75"/>
    <x v="0"/>
    <s v="Y"/>
  </r>
  <r>
    <s v="BSS - Behavioral Consultation FS Traditional"/>
    <x v="10"/>
    <x v="2"/>
    <x v="0"/>
    <s v="Quarter Hour"/>
    <x v="0"/>
    <d v="2023-06-30T00:00:00"/>
    <n v="36.299999999999997"/>
    <x v="0"/>
    <s v="Y"/>
  </r>
  <r>
    <s v="BSS - Behavioral Consultation FS Traditional"/>
    <x v="10"/>
    <x v="2"/>
    <x v="0"/>
    <s v="Quarter Hour"/>
    <x v="1"/>
    <d v="2024-06-30T00:00:00"/>
    <n v="37.75"/>
    <x v="0"/>
    <s v="Y"/>
  </r>
  <r>
    <s v="BSS - Behavioral Plan CP Traditional"/>
    <x v="11"/>
    <x v="0"/>
    <x v="0"/>
    <s v="Milestone"/>
    <x v="0"/>
    <d v="2023-06-30T00:00:00"/>
    <n v="1595.74"/>
    <x v="0"/>
    <s v="Y"/>
  </r>
  <r>
    <s v="BSS - Behavioral Plan CP Traditional"/>
    <x v="11"/>
    <x v="0"/>
    <x v="0"/>
    <s v="Milestone"/>
    <x v="1"/>
    <d v="2024-06-30T00:00:00"/>
    <n v="1659.57"/>
    <x v="0"/>
    <s v="Y"/>
  </r>
  <r>
    <s v="BSS - Behavioral Plan CS Self-Direction"/>
    <x v="12"/>
    <x v="1"/>
    <x v="1"/>
    <s v="Milestone"/>
    <x v="0"/>
    <d v="2023-06-30T00:00:00"/>
    <n v="1595.74"/>
    <x v="0"/>
    <s v="Y"/>
  </r>
  <r>
    <s v="BSS - Behavioral Plan CS Self-Direction"/>
    <x v="12"/>
    <x v="1"/>
    <x v="1"/>
    <s v="Milestone"/>
    <x v="1"/>
    <d v="2024-06-30T00:00:00"/>
    <n v="1659.57"/>
    <x v="0"/>
    <s v="Y"/>
  </r>
  <r>
    <s v="BSS - Behavioral Plan CS Traditional"/>
    <x v="13"/>
    <x v="1"/>
    <x v="0"/>
    <s v="Milestone"/>
    <x v="0"/>
    <d v="2023-06-30T00:00:00"/>
    <n v="1595.74"/>
    <x v="0"/>
    <s v="Y"/>
  </r>
  <r>
    <s v="BSS - Behavioral Plan CS Traditional"/>
    <x v="13"/>
    <x v="1"/>
    <x v="0"/>
    <s v="Milestone"/>
    <x v="1"/>
    <d v="2024-06-30T00:00:00"/>
    <n v="1659.57"/>
    <x v="0"/>
    <s v="Y"/>
  </r>
  <r>
    <s v="BSS - Behavioral Plan FS Self-Direction"/>
    <x v="14"/>
    <x v="2"/>
    <x v="1"/>
    <s v="Milestone"/>
    <x v="0"/>
    <d v="2023-06-30T00:00:00"/>
    <n v="1595.74"/>
    <x v="0"/>
    <s v="Y"/>
  </r>
  <r>
    <s v="BSS - Behavioral Plan FS Self-Direction"/>
    <x v="14"/>
    <x v="2"/>
    <x v="1"/>
    <s v="Milestone"/>
    <x v="1"/>
    <d v="2024-06-30T00:00:00"/>
    <n v="1659.57"/>
    <x v="0"/>
    <s v="Y"/>
  </r>
  <r>
    <s v="BSS - Behavioral Plan FS Traditional"/>
    <x v="15"/>
    <x v="2"/>
    <x v="0"/>
    <s v="Milestone"/>
    <x v="0"/>
    <d v="2023-06-30T00:00:00"/>
    <n v="1595.74"/>
    <x v="0"/>
    <s v="Y"/>
  </r>
  <r>
    <s v="BSS - Behavioral Plan FS Traditional"/>
    <x v="15"/>
    <x v="2"/>
    <x v="0"/>
    <s v="Milestone"/>
    <x v="1"/>
    <d v="2024-06-30T00:00:00"/>
    <n v="1659.57"/>
    <x v="0"/>
    <s v="Y"/>
  </r>
  <r>
    <s v="BSS - Brief Support Implementation"/>
    <x v="16"/>
    <x v="0"/>
    <x v="0"/>
    <s v="Quarter Hour"/>
    <x v="0"/>
    <d v="2023-06-30T00:00:00"/>
    <n v="18.25"/>
    <x v="0"/>
    <s v="Y"/>
  </r>
  <r>
    <s v="BSS - Brief Support Implementation"/>
    <x v="16"/>
    <x v="0"/>
    <x v="0"/>
    <s v="Quarter Hour"/>
    <x v="1"/>
    <d v="2024-06-30T00:00:00"/>
    <n v="18.98"/>
    <x v="0"/>
    <s v="Y"/>
  </r>
  <r>
    <s v="BSS - Brief Support Implementation CS Self-Direction"/>
    <x v="17"/>
    <x v="1"/>
    <x v="1"/>
    <s v="Quarter Hour"/>
    <x v="0"/>
    <d v="2023-06-30T00:00:00"/>
    <n v="18.25"/>
    <x v="0"/>
    <s v="Y"/>
  </r>
  <r>
    <s v="BSS - Brief Support Implementation CS Self-Direction"/>
    <x v="17"/>
    <x v="1"/>
    <x v="1"/>
    <s v="Quarter Hour"/>
    <x v="1"/>
    <d v="2024-06-30T00:00:00"/>
    <n v="18.98"/>
    <x v="0"/>
    <s v="Y"/>
  </r>
  <r>
    <s v="BSS - Brief Support Implementation CS Traditional"/>
    <x v="18"/>
    <x v="1"/>
    <x v="0"/>
    <s v="Quarter Hour"/>
    <x v="0"/>
    <d v="2023-06-30T00:00:00"/>
    <n v="18.25"/>
    <x v="0"/>
    <s v="Y"/>
  </r>
  <r>
    <s v="BSS - Brief Support Implementation CS Traditional"/>
    <x v="18"/>
    <x v="1"/>
    <x v="0"/>
    <s v="Quarter Hour"/>
    <x v="1"/>
    <d v="2024-06-30T00:00:00"/>
    <n v="18.98"/>
    <x v="0"/>
    <s v="Y"/>
  </r>
  <r>
    <s v="BSS - Brief Support Implementation FS Self-Direction"/>
    <x v="19"/>
    <x v="2"/>
    <x v="1"/>
    <s v="Quarter Hour"/>
    <x v="0"/>
    <d v="2023-06-30T00:00:00"/>
    <n v="18.25"/>
    <x v="0"/>
    <s v="Y"/>
  </r>
  <r>
    <s v="BSS - Brief Support Implementation FS Self-Direction"/>
    <x v="19"/>
    <x v="2"/>
    <x v="1"/>
    <s v="Quarter Hour"/>
    <x v="1"/>
    <d v="2024-06-30T00:00:00"/>
    <n v="18.98"/>
    <x v="0"/>
    <s v="Y"/>
  </r>
  <r>
    <s v="BSS - Brief Support Implementation FS Traditional"/>
    <x v="20"/>
    <x v="2"/>
    <x v="0"/>
    <s v="Quarter Hour"/>
    <x v="0"/>
    <d v="2023-06-30T00:00:00"/>
    <n v="18.25"/>
    <x v="0"/>
    <s v="Y"/>
  </r>
  <r>
    <s v="BSS - Brief Support Implementation FS Traditional"/>
    <x v="20"/>
    <x v="2"/>
    <x v="0"/>
    <s v="Quarter Hour"/>
    <x v="1"/>
    <d v="2024-06-30T00:00:00"/>
    <n v="18.98"/>
    <x v="0"/>
    <s v="Y"/>
  </r>
  <r>
    <s v="Community Development Services CS Self-Direction"/>
    <x v="21"/>
    <x v="1"/>
    <x v="1"/>
    <s v="Day"/>
    <x v="0"/>
    <d v="2023-06-30T00:00:00"/>
    <n v="1089"/>
    <x v="1"/>
    <s v="Y"/>
  </r>
  <r>
    <s v="Community Development Services CS Self-Direction"/>
    <x v="21"/>
    <x v="1"/>
    <x v="1"/>
    <s v="Day"/>
    <x v="1"/>
    <d v="2024-06-30T00:00:00"/>
    <n v="1133"/>
    <x v="1"/>
    <s v="Y"/>
  </r>
  <r>
    <s v="Employment Discovery and Customization CS Self-Direction"/>
    <x v="22"/>
    <x v="1"/>
    <x v="1"/>
    <s v="Day"/>
    <x v="0"/>
    <d v="2023-06-30T00:00:00"/>
    <n v="1089"/>
    <x v="2"/>
    <s v="Y"/>
  </r>
  <r>
    <s v="Employment Discovery and Customization CS Self-Direction"/>
    <x v="22"/>
    <x v="1"/>
    <x v="1"/>
    <s v="Day"/>
    <x v="1"/>
    <d v="2024-06-30T00:00:00"/>
    <n v="1133"/>
    <x v="2"/>
    <s v="Y"/>
  </r>
  <r>
    <s v="Environmental Assessment"/>
    <x v="23"/>
    <x v="0"/>
    <x v="0"/>
    <s v="Milestone"/>
    <x v="0"/>
    <d v="2023-06-30T00:00:00"/>
    <n v="474.49"/>
    <x v="3"/>
    <s v="Y"/>
  </r>
  <r>
    <s v="Environmental Assessment"/>
    <x v="23"/>
    <x v="0"/>
    <x v="0"/>
    <s v="Milestone"/>
    <x v="1"/>
    <d v="2024-06-30T00:00:00"/>
    <n v="493.47"/>
    <x v="3"/>
    <s v="Y"/>
  </r>
  <r>
    <s v="Environmental Assessment CS Self-Direction"/>
    <x v="24"/>
    <x v="1"/>
    <x v="1"/>
    <s v="Milestone"/>
    <x v="0"/>
    <d v="2023-06-30T00:00:00"/>
    <n v="474.49"/>
    <x v="3"/>
    <s v="Y"/>
  </r>
  <r>
    <s v="Environmental Assessment CS Self-Direction"/>
    <x v="24"/>
    <x v="1"/>
    <x v="1"/>
    <s v="Milestone"/>
    <x v="1"/>
    <d v="2024-06-30T00:00:00"/>
    <n v="493.47"/>
    <x v="3"/>
    <s v="Y"/>
  </r>
  <r>
    <s v="Environmental Assessment CS Traditional"/>
    <x v="25"/>
    <x v="1"/>
    <x v="0"/>
    <s v="Milestone"/>
    <x v="0"/>
    <d v="2023-06-30T00:00:00"/>
    <n v="474.49"/>
    <x v="3"/>
    <s v="Y"/>
  </r>
  <r>
    <s v="Environmental Assessment CS Traditional"/>
    <x v="25"/>
    <x v="1"/>
    <x v="0"/>
    <s v="Milestone"/>
    <x v="1"/>
    <d v="2024-06-30T00:00:00"/>
    <n v="493.47"/>
    <x v="3"/>
    <s v="Y"/>
  </r>
  <r>
    <s v="Environmental Assessment FS Self-Direction"/>
    <x v="26"/>
    <x v="2"/>
    <x v="1"/>
    <s v="Milestone"/>
    <x v="0"/>
    <d v="2023-06-30T00:00:00"/>
    <n v="474.49"/>
    <x v="3"/>
    <s v="Y"/>
  </r>
  <r>
    <s v="Environmental Assessment FS Self-Direction"/>
    <x v="26"/>
    <x v="2"/>
    <x v="1"/>
    <s v="Milestone"/>
    <x v="1"/>
    <d v="2024-06-30T00:00:00"/>
    <n v="493.47"/>
    <x v="3"/>
    <s v="Y"/>
  </r>
  <r>
    <s v="Environmental Assessment FS Traditional"/>
    <x v="27"/>
    <x v="2"/>
    <x v="0"/>
    <s v="Milestone"/>
    <x v="0"/>
    <d v="2023-06-30T00:00:00"/>
    <n v="474.49"/>
    <x v="3"/>
    <s v="Y"/>
  </r>
  <r>
    <s v="Environmental Assessment FS Traditional"/>
    <x v="27"/>
    <x v="2"/>
    <x v="0"/>
    <s v="Milestone"/>
    <x v="1"/>
    <d v="2024-06-30T00:00:00"/>
    <n v="493.47"/>
    <x v="3"/>
    <s v="Y"/>
  </r>
  <r>
    <s v="Family and Peer Mentoring Supports"/>
    <x v="28"/>
    <x v="0"/>
    <x v="0"/>
    <s v="Hour"/>
    <x v="0"/>
    <d v="2023-06-30T00:00:00"/>
    <n v="65.37"/>
    <x v="4"/>
    <s v="Y"/>
  </r>
  <r>
    <s v="Family and Peer Mentoring Supports"/>
    <x v="28"/>
    <x v="0"/>
    <x v="0"/>
    <s v="Hour"/>
    <x v="1"/>
    <d v="2024-06-30T00:00:00"/>
    <n v="67.98"/>
    <x v="4"/>
    <s v="Y"/>
  </r>
  <r>
    <s v="Family and Peer Mentoring Supports CS Self-Direction"/>
    <x v="29"/>
    <x v="1"/>
    <x v="1"/>
    <s v="Hour"/>
    <x v="0"/>
    <d v="2023-06-30T00:00:00"/>
    <n v="65.37"/>
    <x v="4"/>
    <s v="Y"/>
  </r>
  <r>
    <s v="Family and Peer Mentoring Supports CS Self-Direction"/>
    <x v="29"/>
    <x v="1"/>
    <x v="1"/>
    <s v="Hour"/>
    <x v="1"/>
    <d v="2024-06-30T00:00:00"/>
    <n v="67.98"/>
    <x v="4"/>
    <s v="Y"/>
  </r>
  <r>
    <s v="Family and Peer Mentoring Supports CS Traditional"/>
    <x v="30"/>
    <x v="1"/>
    <x v="0"/>
    <s v="Hour"/>
    <x v="0"/>
    <d v="2023-06-30T00:00:00"/>
    <n v="65.37"/>
    <x v="4"/>
    <s v="Y"/>
  </r>
  <r>
    <s v="Family and Peer Mentoring Supports CS Traditional"/>
    <x v="30"/>
    <x v="1"/>
    <x v="0"/>
    <s v="Hour"/>
    <x v="1"/>
    <d v="2024-06-30T00:00:00"/>
    <n v="67.98"/>
    <x v="4"/>
    <s v="Y"/>
  </r>
  <r>
    <s v="Family and Peer Mentoring Supports FS Self-Direction"/>
    <x v="31"/>
    <x v="2"/>
    <x v="1"/>
    <s v="Hour"/>
    <x v="0"/>
    <d v="2023-06-30T00:00:00"/>
    <n v="65.37"/>
    <x v="4"/>
    <s v="Y"/>
  </r>
  <r>
    <s v="Family and Peer Mentoring Supports FS Self-Direction"/>
    <x v="31"/>
    <x v="2"/>
    <x v="1"/>
    <s v="Hour"/>
    <x v="1"/>
    <d v="2024-06-30T00:00:00"/>
    <n v="67.98"/>
    <x v="4"/>
    <s v="Y"/>
  </r>
  <r>
    <s v="Family and Peer Mentoring Supports FS Traditional"/>
    <x v="32"/>
    <x v="2"/>
    <x v="0"/>
    <s v="Hour"/>
    <x v="0"/>
    <d v="2023-06-30T00:00:00"/>
    <n v="65.37"/>
    <x v="4"/>
    <s v="Y"/>
  </r>
  <r>
    <s v="Family and Peer Mentoring Supports FS Traditional"/>
    <x v="32"/>
    <x v="2"/>
    <x v="0"/>
    <s v="Hour"/>
    <x v="1"/>
    <d v="2024-06-30T00:00:00"/>
    <n v="67.98"/>
    <x v="4"/>
    <s v="Y"/>
  </r>
  <r>
    <s v="Housing Support Services"/>
    <x v="33"/>
    <x v="0"/>
    <x v="0"/>
    <s v="Hour"/>
    <x v="0"/>
    <d v="2023-06-30T00:00:00"/>
    <n v="67.78"/>
    <x v="5"/>
    <s v="Y"/>
  </r>
  <r>
    <s v="Housing Support Services"/>
    <x v="33"/>
    <x v="0"/>
    <x v="0"/>
    <s v="Hour"/>
    <x v="1"/>
    <d v="2024-06-30T00:00:00"/>
    <n v="70.489999999999995"/>
    <x v="5"/>
    <s v="Y"/>
  </r>
  <r>
    <s v="Housing Support Services CS Self-Direction"/>
    <x v="34"/>
    <x v="1"/>
    <x v="1"/>
    <s v="Hour"/>
    <x v="0"/>
    <d v="2023-06-30T00:00:00"/>
    <n v="67.78"/>
    <x v="5"/>
    <s v="Y"/>
  </r>
  <r>
    <s v="Housing Support Services CS Self-Direction"/>
    <x v="34"/>
    <x v="1"/>
    <x v="1"/>
    <s v="Hour"/>
    <x v="1"/>
    <d v="2024-06-30T00:00:00"/>
    <n v="70.489999999999995"/>
    <x v="5"/>
    <s v="Y"/>
  </r>
  <r>
    <s v="Housing Support Services CS Traditional"/>
    <x v="35"/>
    <x v="1"/>
    <x v="0"/>
    <s v="Hour"/>
    <x v="0"/>
    <d v="2023-06-30T00:00:00"/>
    <n v="67.78"/>
    <x v="5"/>
    <s v="Y"/>
  </r>
  <r>
    <s v="Housing Support Services CS Traditional"/>
    <x v="35"/>
    <x v="1"/>
    <x v="0"/>
    <s v="Hour"/>
    <x v="1"/>
    <d v="2024-06-30T00:00:00"/>
    <n v="70.489999999999995"/>
    <x v="5"/>
    <s v="Y"/>
  </r>
  <r>
    <s v="Housing Support Services FS Self-Direction"/>
    <x v="36"/>
    <x v="2"/>
    <x v="1"/>
    <s v="Hour"/>
    <x v="0"/>
    <d v="2023-06-30T00:00:00"/>
    <n v="67.78"/>
    <x v="5"/>
    <s v="Y"/>
  </r>
  <r>
    <s v="Housing Support Services FS Self-Direction"/>
    <x v="36"/>
    <x v="2"/>
    <x v="1"/>
    <s v="Hour"/>
    <x v="1"/>
    <d v="2024-06-30T00:00:00"/>
    <n v="70.489999999999995"/>
    <x v="5"/>
    <s v="Y"/>
  </r>
  <r>
    <s v="Housing Support Services FS Traditional"/>
    <x v="37"/>
    <x v="2"/>
    <x v="0"/>
    <s v="Hour"/>
    <x v="0"/>
    <d v="2023-06-30T00:00:00"/>
    <n v="67.78"/>
    <x v="5"/>
    <s v="Y"/>
  </r>
  <r>
    <s v="Housing Support Services FS Traditional"/>
    <x v="37"/>
    <x v="2"/>
    <x v="0"/>
    <s v="Hour"/>
    <x v="1"/>
    <d v="2024-06-30T00:00:00"/>
    <n v="70.489999999999995"/>
    <x v="5"/>
    <s v="Y"/>
  </r>
  <r>
    <s v="Live In Caregiver Support"/>
    <x v="38"/>
    <x v="0"/>
    <x v="0"/>
    <s v="Month"/>
    <x v="0"/>
    <d v="2023-06-30T00:00:00"/>
    <n v="1200"/>
    <x v="3"/>
    <s v="Y"/>
  </r>
  <r>
    <s v="Live In Caregiver Support"/>
    <x v="38"/>
    <x v="0"/>
    <x v="0"/>
    <s v="Month"/>
    <x v="1"/>
    <d v="2024-06-30T00:00:00"/>
    <n v="1200"/>
    <x v="3"/>
    <s v="Y"/>
  </r>
  <r>
    <s v="Nursing Support Service"/>
    <x v="39"/>
    <x v="0"/>
    <x v="0"/>
    <s v="Quarter Hour"/>
    <x v="0"/>
    <d v="2023-06-30T00:00:00"/>
    <n v="21.48"/>
    <x v="6"/>
    <s v="Y"/>
  </r>
  <r>
    <s v="Nursing Support Service"/>
    <x v="39"/>
    <x v="0"/>
    <x v="0"/>
    <s v="Quarter Hour"/>
    <x v="1"/>
    <d v="2024-06-30T00:00:00"/>
    <n v="22.34"/>
    <x v="6"/>
    <s v="Y"/>
  </r>
  <r>
    <s v="Nursing Support Service CS Self-Direction"/>
    <x v="40"/>
    <x v="1"/>
    <x v="1"/>
    <s v="Quarter Hour"/>
    <x v="0"/>
    <d v="2023-06-30T00:00:00"/>
    <n v="21.48"/>
    <x v="6"/>
    <s v="Y"/>
  </r>
  <r>
    <s v="Nursing Support Service CS Self-Direction"/>
    <x v="40"/>
    <x v="1"/>
    <x v="1"/>
    <s v="Quarter Hour"/>
    <x v="1"/>
    <d v="2024-06-30T00:00:00"/>
    <n v="22.34"/>
    <x v="6"/>
    <s v="Y"/>
  </r>
  <r>
    <s v="Nursing Support Service CS Traditional"/>
    <x v="41"/>
    <x v="1"/>
    <x v="0"/>
    <s v="Quarter Hour"/>
    <x v="0"/>
    <d v="2023-06-30T00:00:00"/>
    <n v="21.48"/>
    <x v="6"/>
    <s v="Y"/>
  </r>
  <r>
    <s v="Nursing Support Service CS Traditional"/>
    <x v="41"/>
    <x v="1"/>
    <x v="0"/>
    <s v="Quarter Hour"/>
    <x v="1"/>
    <d v="2024-06-30T00:00:00"/>
    <n v="22.34"/>
    <x v="6"/>
    <s v="Y"/>
  </r>
  <r>
    <s v="Nursing Support Service FS Self-Direction"/>
    <x v="42"/>
    <x v="2"/>
    <x v="1"/>
    <s v="Quarter Hour"/>
    <x v="0"/>
    <d v="2023-06-30T00:00:00"/>
    <n v="21.48"/>
    <x v="6"/>
    <s v="Y"/>
  </r>
  <r>
    <s v="Nursing Support Service FS Self-Direction"/>
    <x v="42"/>
    <x v="2"/>
    <x v="1"/>
    <s v="Quarter Hour"/>
    <x v="1"/>
    <d v="2024-06-30T00:00:00"/>
    <n v="22.34"/>
    <x v="6"/>
    <s v="Y"/>
  </r>
  <r>
    <s v="Nursing Support Service FS Traditional"/>
    <x v="43"/>
    <x v="2"/>
    <x v="0"/>
    <s v="Quarter Hour"/>
    <x v="0"/>
    <d v="2023-06-30T00:00:00"/>
    <n v="21.48"/>
    <x v="6"/>
    <s v="Y"/>
  </r>
  <r>
    <s v="Nursing Support Service FS Traditional"/>
    <x v="43"/>
    <x v="2"/>
    <x v="0"/>
    <s v="Quarter Hour"/>
    <x v="1"/>
    <d v="2024-06-30T00:00:00"/>
    <n v="22.34"/>
    <x v="6"/>
    <s v="Y"/>
  </r>
  <r>
    <s v="Personal Supports CS Self-Direction"/>
    <x v="44"/>
    <x v="1"/>
    <x v="1"/>
    <s v="Quarter Hour"/>
    <x v="0"/>
    <d v="2023-06-30T00:00:00"/>
    <n v="10.34"/>
    <x v="7"/>
    <s v="Y"/>
  </r>
  <r>
    <s v="Personal Supports CS Self-Direction"/>
    <x v="44"/>
    <x v="1"/>
    <x v="1"/>
    <s v="Quarter Hour"/>
    <x v="1"/>
    <d v="2024-06-30T00:00:00"/>
    <n v="0"/>
    <x v="7"/>
    <s v="Y"/>
  </r>
  <r>
    <s v="Personal Supports FS Self-Direction"/>
    <x v="45"/>
    <x v="2"/>
    <x v="1"/>
    <s v="Quarter Hour"/>
    <x v="0"/>
    <d v="2023-06-30T00:00:00"/>
    <n v="10.34"/>
    <x v="7"/>
    <s v="Y"/>
  </r>
  <r>
    <s v="Personal Supports FS Self-Direction"/>
    <x v="45"/>
    <x v="2"/>
    <x v="1"/>
    <s v="Quarter Hour"/>
    <x v="1"/>
    <d v="2024-06-30T00:00:00"/>
    <n v="0"/>
    <x v="7"/>
    <s v="Y"/>
  </r>
  <r>
    <s v="Respite Care Services - Day CP Traditional"/>
    <x v="46"/>
    <x v="0"/>
    <x v="0"/>
    <s v="Day"/>
    <x v="0"/>
    <d v="2023-06-30T00:00:00"/>
    <n v="450.42"/>
    <x v="8"/>
    <s v="Y"/>
  </r>
  <r>
    <s v="Respite Care Services - Day CP Traditional"/>
    <x v="46"/>
    <x v="0"/>
    <x v="0"/>
    <s v="Day"/>
    <x v="1"/>
    <d v="2024-06-30T00:00:00"/>
    <n v="468.44"/>
    <x v="8"/>
    <s v="Y"/>
  </r>
  <r>
    <s v="Respite Care Services - Day CS Self-Direction"/>
    <x v="47"/>
    <x v="1"/>
    <x v="1"/>
    <s v="Day"/>
    <x v="0"/>
    <d v="2023-06-30T00:00:00"/>
    <n v="450.42"/>
    <x v="8"/>
    <s v="Y"/>
  </r>
  <r>
    <s v="Respite Care Services - Day CS Self-Direction"/>
    <x v="47"/>
    <x v="1"/>
    <x v="1"/>
    <s v="Day"/>
    <x v="1"/>
    <d v="2024-06-30T00:00:00"/>
    <n v="468.44"/>
    <x v="8"/>
    <s v="Y"/>
  </r>
  <r>
    <s v="Respite Care Services - Day CS Traditional"/>
    <x v="48"/>
    <x v="1"/>
    <x v="0"/>
    <s v="Day"/>
    <x v="0"/>
    <d v="2023-06-30T00:00:00"/>
    <n v="450.42"/>
    <x v="8"/>
    <s v="Y"/>
  </r>
  <r>
    <s v="Respite Care Services - Day CS Traditional"/>
    <x v="48"/>
    <x v="1"/>
    <x v="0"/>
    <s v="Day"/>
    <x v="1"/>
    <d v="2024-06-30T00:00:00"/>
    <n v="468.44"/>
    <x v="8"/>
    <s v="Y"/>
  </r>
  <r>
    <s v="Respite Care Services - Day FS Self-Direction"/>
    <x v="49"/>
    <x v="2"/>
    <x v="1"/>
    <s v="Day"/>
    <x v="0"/>
    <d v="2023-06-30T00:00:00"/>
    <n v="450.42"/>
    <x v="8"/>
    <s v="Y"/>
  </r>
  <r>
    <s v="Respite Care Services - Day FS Self-Direction"/>
    <x v="49"/>
    <x v="2"/>
    <x v="1"/>
    <s v="Day"/>
    <x v="1"/>
    <d v="2024-06-30T00:00:00"/>
    <n v="468.44"/>
    <x v="8"/>
    <s v="Y"/>
  </r>
  <r>
    <s v="Respite Care Services - Day FS Traditional"/>
    <x v="50"/>
    <x v="2"/>
    <x v="0"/>
    <s v="Day"/>
    <x v="0"/>
    <d v="2023-06-30T00:00:00"/>
    <n v="450.42"/>
    <x v="8"/>
    <s v="Y"/>
  </r>
  <r>
    <s v="Respite Care Services - Day FS Traditional"/>
    <x v="50"/>
    <x v="2"/>
    <x v="0"/>
    <s v="Day"/>
    <x v="1"/>
    <d v="2024-06-30T00:00:00"/>
    <n v="468.44"/>
    <x v="8"/>
    <s v="Y"/>
  </r>
  <r>
    <s v="Respite Care Services - Hour CP Self-Direction"/>
    <x v="51"/>
    <x v="0"/>
    <x v="1"/>
    <s v="Hour"/>
    <x v="0"/>
    <d v="2023-06-30T00:00:00"/>
    <n v="32.340000000000003"/>
    <x v="8"/>
    <s v="Y"/>
  </r>
  <r>
    <s v="Respite Care Services - Hour CP Self-Direction"/>
    <x v="51"/>
    <x v="0"/>
    <x v="1"/>
    <s v="Hour"/>
    <x v="1"/>
    <d v="2024-06-30T00:00:00"/>
    <n v="33.630000000000003"/>
    <x v="8"/>
    <s v="Y"/>
  </r>
  <r>
    <s v="Respite Care Services - Hour CP Traditional"/>
    <x v="52"/>
    <x v="0"/>
    <x v="0"/>
    <s v="Hour"/>
    <x v="0"/>
    <d v="2023-06-30T00:00:00"/>
    <n v="32.340000000000003"/>
    <x v="8"/>
    <s v="Y"/>
  </r>
  <r>
    <s v="Respite Care Services - Hour CP Traditional"/>
    <x v="52"/>
    <x v="0"/>
    <x v="0"/>
    <s v="Hour"/>
    <x v="1"/>
    <d v="2024-06-30T00:00:00"/>
    <n v="33.630000000000003"/>
    <x v="8"/>
    <s v="Y"/>
  </r>
  <r>
    <s v="Respite Care Services - Hour CS Self-Direction"/>
    <x v="53"/>
    <x v="1"/>
    <x v="1"/>
    <s v="Hour"/>
    <x v="0"/>
    <d v="2023-06-30T00:00:00"/>
    <n v="32.340000000000003"/>
    <x v="8"/>
    <s v="Y"/>
  </r>
  <r>
    <s v="Respite Care Services - Hour CS Self-Direction"/>
    <x v="53"/>
    <x v="1"/>
    <x v="1"/>
    <s v="Hour"/>
    <x v="1"/>
    <d v="2024-06-30T00:00:00"/>
    <n v="33.630000000000003"/>
    <x v="8"/>
    <s v="Y"/>
  </r>
  <r>
    <s v="Respite Care Services - Hour CS Traditional"/>
    <x v="54"/>
    <x v="1"/>
    <x v="0"/>
    <s v="Hour"/>
    <x v="0"/>
    <d v="2023-06-30T00:00:00"/>
    <n v="32.340000000000003"/>
    <x v="8"/>
    <s v="Y"/>
  </r>
  <r>
    <s v="Respite Care Services - Hour CS Traditional"/>
    <x v="54"/>
    <x v="1"/>
    <x v="0"/>
    <s v="Hour"/>
    <x v="1"/>
    <d v="2024-06-30T00:00:00"/>
    <n v="33.630000000000003"/>
    <x v="8"/>
    <s v="Y"/>
  </r>
  <r>
    <s v="Respite Care Services - Hour FS Self-Direction"/>
    <x v="55"/>
    <x v="2"/>
    <x v="1"/>
    <s v="Hour"/>
    <x v="0"/>
    <d v="2023-06-30T00:00:00"/>
    <n v="32.340000000000003"/>
    <x v="8"/>
    <s v="Y"/>
  </r>
  <r>
    <s v="Respite Care Services - Hour FS Self-Direction"/>
    <x v="55"/>
    <x v="2"/>
    <x v="1"/>
    <s v="Hour"/>
    <x v="1"/>
    <d v="2024-06-30T00:00:00"/>
    <n v="33.630000000000003"/>
    <x v="8"/>
    <s v="Y"/>
  </r>
  <r>
    <s v="Respite Care Services - Hour FS Traditional"/>
    <x v="56"/>
    <x v="2"/>
    <x v="0"/>
    <s v="Hour"/>
    <x v="0"/>
    <d v="2023-06-30T00:00:00"/>
    <n v="32.340000000000003"/>
    <x v="8"/>
    <s v="Y"/>
  </r>
  <r>
    <s v="Respite Care Services - Hour FS Traditional"/>
    <x v="56"/>
    <x v="2"/>
    <x v="0"/>
    <s v="Hour"/>
    <x v="1"/>
    <d v="2024-06-30T00:00:00"/>
    <n v="33.630000000000003"/>
    <x v="8"/>
    <s v="Y"/>
  </r>
  <r>
    <s v="Supported Employment CS Self-Direction"/>
    <x v="57"/>
    <x v="1"/>
    <x v="1"/>
    <s v="Day"/>
    <x v="0"/>
    <d v="2023-06-30T00:00:00"/>
    <n v="1089"/>
    <x v="2"/>
    <s v="Y"/>
  </r>
  <r>
    <s v="Supported Employment CS Self-Direction"/>
    <x v="57"/>
    <x v="1"/>
    <x v="1"/>
    <s v="Day"/>
    <x v="1"/>
    <d v="2024-06-30T00:00:00"/>
    <n v="1133"/>
    <x v="2"/>
    <s v="Y"/>
  </r>
  <r>
    <s v="Supported Living CP Self-Direction"/>
    <x v="58"/>
    <x v="0"/>
    <x v="0"/>
    <s v="Day"/>
    <x v="0"/>
    <d v="2023-06-30T00:00:00"/>
    <n v="2330"/>
    <x v="9"/>
    <s v="Y"/>
  </r>
  <r>
    <s v="Supported Living CP Self-Direction"/>
    <x v="58"/>
    <x v="0"/>
    <x v="0"/>
    <s v="Day"/>
    <x v="1"/>
    <d v="2024-06-30T00:00:00"/>
    <n v="2423"/>
    <x v="9"/>
    <s v="Y"/>
  </r>
  <r>
    <s v="Supported Living CP Traditional"/>
    <x v="59"/>
    <x v="0"/>
    <x v="0"/>
    <s v="Day"/>
    <x v="0"/>
    <d v="2023-06-30T00:00:00"/>
    <n v="2330"/>
    <x v="9"/>
    <s v="Y"/>
  </r>
  <r>
    <s v="Supported Living CP Traditional"/>
    <x v="59"/>
    <x v="0"/>
    <x v="0"/>
    <s v="Day"/>
    <x v="1"/>
    <d v="2024-06-30T00:00:00"/>
    <n v="2423"/>
    <x v="9"/>
    <s v="Y"/>
  </r>
  <r>
    <m/>
    <x v="60"/>
    <x v="3"/>
    <x v="2"/>
    <m/>
    <x v="2"/>
    <m/>
    <m/>
    <x v="1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11A5F35-79EB-49F3-9E95-8FD1BAF52F90}" name="PivotTable8" cacheId="18"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gridDropZones="1" multipleFieldFilters="0">
  <location ref="V10:AB72" firstHeaderRow="1" firstDataRow="2" firstDataCol="4"/>
  <pivotFields count="10">
    <pivotField compact="0" outline="0" showAll="0"/>
    <pivotField axis="axisRow" compact="0" outline="0" showAll="0" defaultSubtotal="0">
      <items count="66">
        <item m="1" x="61"/>
        <item m="1" x="63"/>
        <item m="1" x="64"/>
        <item m="1" x="65"/>
        <item m="1" x="62"/>
        <item x="59"/>
        <item x="58"/>
        <item x="33"/>
        <item x="35"/>
        <item x="34"/>
        <item x="37"/>
        <item x="36"/>
        <item x="0"/>
        <item x="2"/>
        <item x="1"/>
        <item x="4"/>
        <item x="3"/>
        <item x="5"/>
        <item x="6"/>
        <item x="11"/>
        <item x="13"/>
        <item x="12"/>
        <item x="15"/>
        <item x="14"/>
        <item x="16"/>
        <item x="18"/>
        <item x="17"/>
        <item x="20"/>
        <item x="19"/>
        <item x="10"/>
        <item x="9"/>
        <item x="8"/>
        <item x="7"/>
        <item x="23"/>
        <item x="25"/>
        <item x="24"/>
        <item x="27"/>
        <item x="26"/>
        <item x="28"/>
        <item x="30"/>
        <item x="29"/>
        <item x="32"/>
        <item x="31"/>
        <item x="42"/>
        <item x="43"/>
        <item x="39"/>
        <item x="44"/>
        <item x="45"/>
        <item x="41"/>
        <item x="40"/>
        <item x="46"/>
        <item x="48"/>
        <item x="47"/>
        <item x="50"/>
        <item x="49"/>
        <item x="52"/>
        <item x="54"/>
        <item x="53"/>
        <item x="56"/>
        <item x="55"/>
        <item x="38"/>
        <item x="21"/>
        <item x="22"/>
        <item x="51"/>
        <item x="57"/>
        <item x="60"/>
      </items>
    </pivotField>
    <pivotField axis="axisRow" compact="0" outline="0" showAll="0" defaultSubtotal="0">
      <items count="4">
        <item x="0"/>
        <item x="1"/>
        <item x="2"/>
        <item x="3"/>
      </items>
    </pivotField>
    <pivotField axis="axisRow" compact="0" outline="0" showAll="0">
      <items count="4">
        <item x="1"/>
        <item x="0"/>
        <item x="2"/>
        <item t="default"/>
      </items>
    </pivotField>
    <pivotField compact="0" outline="0" showAll="0"/>
    <pivotField axis="axisCol" compact="0" numFmtId="14" outline="0" showAll="0">
      <items count="5">
        <item m="1" x="3"/>
        <item x="0"/>
        <item x="1"/>
        <item x="2"/>
        <item t="default"/>
      </items>
    </pivotField>
    <pivotField compact="0" numFmtId="14" outline="0" showAll="0"/>
    <pivotField dataField="1" compact="0" outline="0" showAll="0"/>
    <pivotField axis="axisRow" compact="0" outline="0" showAll="0" defaultSubtotal="0">
      <items count="11">
        <item x="0"/>
        <item x="4"/>
        <item x="3"/>
        <item x="5"/>
        <item x="6"/>
        <item x="7"/>
        <item x="9"/>
        <item x="8"/>
        <item x="1"/>
        <item x="2"/>
        <item x="10"/>
      </items>
    </pivotField>
    <pivotField compact="0" outline="0" showAll="0"/>
  </pivotFields>
  <rowFields count="4">
    <field x="1"/>
    <field x="8"/>
    <field x="2"/>
    <field x="3"/>
  </rowFields>
  <rowItems count="61">
    <i>
      <x v="5"/>
      <x v="6"/>
      <x/>
      <x v="1"/>
    </i>
    <i>
      <x v="6"/>
      <x v="6"/>
      <x/>
      <x v="1"/>
    </i>
    <i>
      <x v="7"/>
      <x v="3"/>
      <x/>
      <x v="1"/>
    </i>
    <i>
      <x v="8"/>
      <x v="3"/>
      <x v="1"/>
      <x v="1"/>
    </i>
    <i>
      <x v="9"/>
      <x v="3"/>
      <x v="1"/>
      <x/>
    </i>
    <i>
      <x v="10"/>
      <x v="3"/>
      <x v="2"/>
      <x v="1"/>
    </i>
    <i>
      <x v="11"/>
      <x v="3"/>
      <x v="2"/>
      <x/>
    </i>
    <i>
      <x v="12"/>
      <x/>
      <x/>
      <x v="1"/>
    </i>
    <i>
      <x v="13"/>
      <x/>
      <x v="1"/>
      <x v="1"/>
    </i>
    <i>
      <x v="14"/>
      <x/>
      <x v="1"/>
      <x/>
    </i>
    <i>
      <x v="15"/>
      <x/>
      <x v="2"/>
      <x v="1"/>
    </i>
    <i>
      <x v="16"/>
      <x/>
      <x v="2"/>
      <x/>
    </i>
    <i>
      <x v="17"/>
      <x/>
      <x/>
      <x/>
    </i>
    <i>
      <x v="18"/>
      <x/>
      <x/>
      <x v="1"/>
    </i>
    <i>
      <x v="19"/>
      <x/>
      <x/>
      <x v="1"/>
    </i>
    <i>
      <x v="20"/>
      <x/>
      <x v="1"/>
      <x v="1"/>
    </i>
    <i>
      <x v="21"/>
      <x/>
      <x v="1"/>
      <x/>
    </i>
    <i>
      <x v="22"/>
      <x/>
      <x v="2"/>
      <x v="1"/>
    </i>
    <i>
      <x v="23"/>
      <x/>
      <x v="2"/>
      <x/>
    </i>
    <i>
      <x v="24"/>
      <x/>
      <x/>
      <x v="1"/>
    </i>
    <i>
      <x v="25"/>
      <x/>
      <x v="1"/>
      <x v="1"/>
    </i>
    <i>
      <x v="26"/>
      <x/>
      <x v="1"/>
      <x/>
    </i>
    <i>
      <x v="27"/>
      <x/>
      <x v="2"/>
      <x v="1"/>
    </i>
    <i>
      <x v="28"/>
      <x/>
      <x v="2"/>
      <x/>
    </i>
    <i>
      <x v="29"/>
      <x/>
      <x v="2"/>
      <x v="1"/>
    </i>
    <i>
      <x v="30"/>
      <x/>
      <x v="2"/>
      <x/>
    </i>
    <i>
      <x v="31"/>
      <x/>
      <x v="1"/>
      <x v="1"/>
    </i>
    <i>
      <x v="32"/>
      <x/>
      <x v="1"/>
      <x/>
    </i>
    <i>
      <x v="33"/>
      <x v="2"/>
      <x/>
      <x v="1"/>
    </i>
    <i>
      <x v="34"/>
      <x v="2"/>
      <x v="1"/>
      <x v="1"/>
    </i>
    <i>
      <x v="35"/>
      <x v="2"/>
      <x v="1"/>
      <x/>
    </i>
    <i>
      <x v="36"/>
      <x v="2"/>
      <x v="2"/>
      <x v="1"/>
    </i>
    <i>
      <x v="37"/>
      <x v="2"/>
      <x v="2"/>
      <x/>
    </i>
    <i>
      <x v="38"/>
      <x v="1"/>
      <x/>
      <x v="1"/>
    </i>
    <i>
      <x v="39"/>
      <x v="1"/>
      <x v="1"/>
      <x v="1"/>
    </i>
    <i>
      <x v="40"/>
      <x v="1"/>
      <x v="1"/>
      <x/>
    </i>
    <i>
      <x v="41"/>
      <x v="1"/>
      <x v="2"/>
      <x v="1"/>
    </i>
    <i>
      <x v="42"/>
      <x v="1"/>
      <x v="2"/>
      <x/>
    </i>
    <i>
      <x v="43"/>
      <x v="4"/>
      <x v="2"/>
      <x/>
    </i>
    <i>
      <x v="44"/>
      <x v="4"/>
      <x v="2"/>
      <x v="1"/>
    </i>
    <i>
      <x v="45"/>
      <x v="4"/>
      <x/>
      <x v="1"/>
    </i>
    <i>
      <x v="46"/>
      <x v="5"/>
      <x v="1"/>
      <x/>
    </i>
    <i>
      <x v="47"/>
      <x v="5"/>
      <x v="2"/>
      <x/>
    </i>
    <i>
      <x v="48"/>
      <x v="4"/>
      <x v="1"/>
      <x v="1"/>
    </i>
    <i>
      <x v="49"/>
      <x v="4"/>
      <x v="1"/>
      <x/>
    </i>
    <i>
      <x v="50"/>
      <x v="7"/>
      <x/>
      <x v="1"/>
    </i>
    <i>
      <x v="51"/>
      <x v="7"/>
      <x v="1"/>
      <x v="1"/>
    </i>
    <i>
      <x v="52"/>
      <x v="7"/>
      <x v="1"/>
      <x/>
    </i>
    <i>
      <x v="53"/>
      <x v="7"/>
      <x v="2"/>
      <x v="1"/>
    </i>
    <i>
      <x v="54"/>
      <x v="7"/>
      <x v="2"/>
      <x/>
    </i>
    <i>
      <x v="55"/>
      <x v="7"/>
      <x/>
      <x v="1"/>
    </i>
    <i>
      <x v="56"/>
      <x v="7"/>
      <x v="1"/>
      <x v="1"/>
    </i>
    <i>
      <x v="57"/>
      <x v="7"/>
      <x v="1"/>
      <x/>
    </i>
    <i>
      <x v="58"/>
      <x v="7"/>
      <x v="2"/>
      <x v="1"/>
    </i>
    <i>
      <x v="59"/>
      <x v="7"/>
      <x v="2"/>
      <x/>
    </i>
    <i>
      <x v="60"/>
      <x v="2"/>
      <x/>
      <x v="1"/>
    </i>
    <i>
      <x v="61"/>
      <x v="8"/>
      <x v="1"/>
      <x/>
    </i>
    <i>
      <x v="62"/>
      <x v="9"/>
      <x v="1"/>
      <x/>
    </i>
    <i>
      <x v="63"/>
      <x v="7"/>
      <x/>
      <x/>
    </i>
    <i>
      <x v="64"/>
      <x v="9"/>
      <x v="1"/>
      <x/>
    </i>
    <i>
      <x v="65"/>
      <x v="10"/>
      <x v="3"/>
      <x v="2"/>
    </i>
  </rowItems>
  <colFields count="1">
    <field x="5"/>
  </colFields>
  <colItems count="3">
    <i>
      <x v="1"/>
    </i>
    <i>
      <x v="2"/>
    </i>
    <i>
      <x v="3"/>
    </i>
  </colItems>
  <dataFields count="1">
    <dataField name="Sum of MAX_RATE" fld="7" baseField="0" baseItem="0"/>
  </dataFields>
  <formats count="138">
    <format dxfId="262">
      <pivotArea outline="0" fieldPosition="0">
        <references count="5">
          <reference field="1" count="1" selected="0">
            <x v="12"/>
          </reference>
          <reference field="2" count="1" selected="0">
            <x v="0"/>
          </reference>
          <reference field="3" count="1" selected="0">
            <x v="1"/>
          </reference>
          <reference field="5" count="1" selected="0">
            <x v="0"/>
          </reference>
          <reference field="8" count="1" selected="0">
            <x v="0"/>
          </reference>
        </references>
      </pivotArea>
    </format>
    <format dxfId="261">
      <pivotArea outline="0" fieldPosition="0">
        <references count="5">
          <reference field="1" count="1" selected="0">
            <x v="18"/>
          </reference>
          <reference field="2" count="1" selected="0">
            <x v="0"/>
          </reference>
          <reference field="3" count="1" selected="0">
            <x v="1"/>
          </reference>
          <reference field="5" count="1" selected="0">
            <x v="0"/>
          </reference>
          <reference field="8" count="1" selected="0">
            <x v="0"/>
          </reference>
        </references>
      </pivotArea>
    </format>
    <format dxfId="260">
      <pivotArea outline="0" fieldPosition="0">
        <references count="5">
          <reference field="1" count="1" selected="0">
            <x v="19"/>
          </reference>
          <reference field="2" count="1" selected="0">
            <x v="0"/>
          </reference>
          <reference field="3" count="1" selected="0">
            <x v="1"/>
          </reference>
          <reference field="5" count="1" selected="0">
            <x v="0"/>
          </reference>
          <reference field="8" count="1" selected="0">
            <x v="0"/>
          </reference>
        </references>
      </pivotArea>
    </format>
    <format dxfId="259">
      <pivotArea outline="0" fieldPosition="0">
        <references count="5">
          <reference field="1" count="1" selected="0">
            <x v="24"/>
          </reference>
          <reference field="2" count="1" selected="0">
            <x v="0"/>
          </reference>
          <reference field="3" count="1" selected="0">
            <x v="1"/>
          </reference>
          <reference field="5" count="1" selected="0">
            <x v="0"/>
          </reference>
          <reference field="8" count="1" selected="0">
            <x v="0"/>
          </reference>
        </references>
      </pivotArea>
    </format>
    <format dxfId="258">
      <pivotArea outline="0" fieldPosition="0">
        <references count="5">
          <reference field="1" count="1" selected="0">
            <x v="33"/>
          </reference>
          <reference field="2" count="1" selected="0">
            <x v="0"/>
          </reference>
          <reference field="3" count="1" selected="0">
            <x v="1"/>
          </reference>
          <reference field="5" count="1" selected="0">
            <x v="0"/>
          </reference>
          <reference field="8" count="1" selected="0">
            <x v="2"/>
          </reference>
        </references>
      </pivotArea>
    </format>
    <format dxfId="257">
      <pivotArea outline="0" fieldPosition="0">
        <references count="5">
          <reference field="1" count="1" selected="0">
            <x v="38"/>
          </reference>
          <reference field="2" count="1" selected="0">
            <x v="0"/>
          </reference>
          <reference field="3" count="1" selected="0">
            <x v="1"/>
          </reference>
          <reference field="5" count="1" selected="0">
            <x v="0"/>
          </reference>
          <reference field="8" count="1" selected="0">
            <x v="1"/>
          </reference>
        </references>
      </pivotArea>
    </format>
    <format dxfId="256">
      <pivotArea outline="0" fieldPosition="0">
        <references count="5">
          <reference field="1" count="1" selected="0">
            <x v="7"/>
          </reference>
          <reference field="2" count="1" selected="0">
            <x v="0"/>
          </reference>
          <reference field="3" count="1" selected="0">
            <x v="1"/>
          </reference>
          <reference field="5" count="1" selected="0">
            <x v="0"/>
          </reference>
          <reference field="8" count="1" selected="0">
            <x v="3"/>
          </reference>
        </references>
      </pivotArea>
    </format>
    <format dxfId="255">
      <pivotArea outline="0" fieldPosition="0">
        <references count="5">
          <reference field="1" count="1" selected="0">
            <x v="45"/>
          </reference>
          <reference field="2" count="1" selected="0">
            <x v="0"/>
          </reference>
          <reference field="3" count="1" selected="0">
            <x v="1"/>
          </reference>
          <reference field="5" count="1" selected="0">
            <x v="0"/>
          </reference>
          <reference field="8" count="1" selected="0">
            <x v="4"/>
          </reference>
        </references>
      </pivotArea>
    </format>
    <format dxfId="254">
      <pivotArea outline="0" fieldPosition="0">
        <references count="5">
          <reference field="1" count="1" selected="0">
            <x v="50"/>
          </reference>
          <reference field="2" count="1" selected="0">
            <x v="0"/>
          </reference>
          <reference field="3" count="1" selected="0">
            <x v="1"/>
          </reference>
          <reference field="5" count="1" selected="0">
            <x v="0"/>
          </reference>
          <reference field="8" count="1" selected="0">
            <x v="7"/>
          </reference>
        </references>
      </pivotArea>
    </format>
    <format dxfId="253">
      <pivotArea outline="0" fieldPosition="0">
        <references count="5">
          <reference field="1" count="1" selected="0">
            <x v="55"/>
          </reference>
          <reference field="2" count="1" selected="0">
            <x v="0"/>
          </reference>
          <reference field="3" count="1" selected="0">
            <x v="1"/>
          </reference>
          <reference field="5" count="1" selected="0">
            <x v="0"/>
          </reference>
          <reference field="8" count="1" selected="0">
            <x v="7"/>
          </reference>
        </references>
      </pivotArea>
    </format>
    <format dxfId="252">
      <pivotArea outline="0" fieldPosition="0">
        <references count="5">
          <reference field="1" count="1" selected="0">
            <x v="13"/>
          </reference>
          <reference field="2" count="1" selected="0">
            <x v="1"/>
          </reference>
          <reference field="3" count="1" selected="0">
            <x v="1"/>
          </reference>
          <reference field="5" count="1" selected="0">
            <x v="1"/>
          </reference>
          <reference field="8" count="1" selected="0">
            <x v="0"/>
          </reference>
        </references>
      </pivotArea>
    </format>
    <format dxfId="251">
      <pivotArea outline="0" fieldPosition="0">
        <references count="5">
          <reference field="1" count="1" selected="0">
            <x v="31"/>
          </reference>
          <reference field="2" count="1" selected="0">
            <x v="1"/>
          </reference>
          <reference field="3" count="1" selected="0">
            <x v="1"/>
          </reference>
          <reference field="5" count="1" selected="0">
            <x v="1"/>
          </reference>
          <reference field="8" count="1" selected="0">
            <x v="0"/>
          </reference>
        </references>
      </pivotArea>
    </format>
    <format dxfId="250">
      <pivotArea outline="0" fieldPosition="0">
        <references count="5">
          <reference field="1" count="1" selected="0">
            <x v="20"/>
          </reference>
          <reference field="2" count="1" selected="0">
            <x v="1"/>
          </reference>
          <reference field="3" count="1" selected="0">
            <x v="1"/>
          </reference>
          <reference field="5" count="1" selected="0">
            <x v="1"/>
          </reference>
          <reference field="8" count="1" selected="0">
            <x v="0"/>
          </reference>
        </references>
      </pivotArea>
    </format>
    <format dxfId="249">
      <pivotArea outline="0" fieldPosition="0">
        <references count="5">
          <reference field="1" count="1" selected="0">
            <x v="25"/>
          </reference>
          <reference field="2" count="1" selected="0">
            <x v="1"/>
          </reference>
          <reference field="3" count="1" selected="0">
            <x v="1"/>
          </reference>
          <reference field="5" count="1" selected="0">
            <x v="1"/>
          </reference>
          <reference field="8" count="1" selected="0">
            <x v="0"/>
          </reference>
        </references>
      </pivotArea>
    </format>
    <format dxfId="248">
      <pivotArea outline="0" fieldPosition="0">
        <references count="5">
          <reference field="1" count="1" selected="0">
            <x v="34"/>
          </reference>
          <reference field="2" count="1" selected="0">
            <x v="1"/>
          </reference>
          <reference field="3" count="1" selected="0">
            <x v="1"/>
          </reference>
          <reference field="5" count="1" selected="0">
            <x v="1"/>
          </reference>
          <reference field="8" count="1" selected="0">
            <x v="2"/>
          </reference>
        </references>
      </pivotArea>
    </format>
    <format dxfId="247">
      <pivotArea outline="0" fieldPosition="0">
        <references count="5">
          <reference field="1" count="1" selected="0">
            <x v="39"/>
          </reference>
          <reference field="2" count="1" selected="0">
            <x v="1"/>
          </reference>
          <reference field="3" count="1" selected="0">
            <x v="1"/>
          </reference>
          <reference field="5" count="1" selected="0">
            <x v="1"/>
          </reference>
          <reference field="8" count="1" selected="0">
            <x v="1"/>
          </reference>
        </references>
      </pivotArea>
    </format>
    <format dxfId="246">
      <pivotArea outline="0" fieldPosition="0">
        <references count="5">
          <reference field="1" count="1" selected="0">
            <x v="8"/>
          </reference>
          <reference field="2" count="1" selected="0">
            <x v="1"/>
          </reference>
          <reference field="3" count="1" selected="0">
            <x v="1"/>
          </reference>
          <reference field="5" count="1" selected="0">
            <x v="1"/>
          </reference>
          <reference field="8" count="1" selected="0">
            <x v="3"/>
          </reference>
        </references>
      </pivotArea>
    </format>
    <format dxfId="245">
      <pivotArea outline="0" fieldPosition="0">
        <references count="5">
          <reference field="1" count="1" selected="0">
            <x v="48"/>
          </reference>
          <reference field="2" count="1" selected="0">
            <x v="1"/>
          </reference>
          <reference field="3" count="1" selected="0">
            <x v="1"/>
          </reference>
          <reference field="5" count="1" selected="0">
            <x v="1"/>
          </reference>
          <reference field="8" count="1" selected="0">
            <x v="4"/>
          </reference>
        </references>
      </pivotArea>
    </format>
    <format dxfId="244">
      <pivotArea outline="0" fieldPosition="0">
        <references count="5">
          <reference field="1" count="1" selected="0">
            <x v="51"/>
          </reference>
          <reference field="2" count="1" selected="0">
            <x v="1"/>
          </reference>
          <reference field="3" count="1" selected="0">
            <x v="1"/>
          </reference>
          <reference field="5" count="1" selected="0">
            <x v="1"/>
          </reference>
          <reference field="8" count="1" selected="0">
            <x v="7"/>
          </reference>
        </references>
      </pivotArea>
    </format>
    <format dxfId="243">
      <pivotArea outline="0" fieldPosition="0">
        <references count="5">
          <reference field="1" count="1" selected="0">
            <x v="56"/>
          </reference>
          <reference field="2" count="1" selected="0">
            <x v="1"/>
          </reference>
          <reference field="3" count="1" selected="0">
            <x v="1"/>
          </reference>
          <reference field="5" count="1" selected="0">
            <x v="1"/>
          </reference>
          <reference field="8" count="1" selected="0">
            <x v="7"/>
          </reference>
        </references>
      </pivotArea>
    </format>
    <format dxfId="242">
      <pivotArea outline="0" fieldPosition="0">
        <references count="5">
          <reference field="1" count="1" selected="0">
            <x v="15"/>
          </reference>
          <reference field="2" count="1" selected="0">
            <x v="2"/>
          </reference>
          <reference field="3" count="1" selected="0">
            <x v="1"/>
          </reference>
          <reference field="5" count="1" selected="0">
            <x v="1"/>
          </reference>
          <reference field="8" count="1" selected="0">
            <x v="0"/>
          </reference>
        </references>
      </pivotArea>
    </format>
    <format dxfId="241">
      <pivotArea outline="0" fieldPosition="0">
        <references count="5">
          <reference field="1" count="1" selected="0">
            <x v="29"/>
          </reference>
          <reference field="2" count="1" selected="0">
            <x v="2"/>
          </reference>
          <reference field="3" count="1" selected="0">
            <x v="1"/>
          </reference>
          <reference field="5" count="1" selected="0">
            <x v="1"/>
          </reference>
          <reference field="8" count="1" selected="0">
            <x v="0"/>
          </reference>
        </references>
      </pivotArea>
    </format>
    <format dxfId="240">
      <pivotArea outline="0" fieldPosition="0">
        <references count="5">
          <reference field="1" count="1" selected="0">
            <x v="22"/>
          </reference>
          <reference field="2" count="1" selected="0">
            <x v="2"/>
          </reference>
          <reference field="3" count="1" selected="0">
            <x v="1"/>
          </reference>
          <reference field="5" count="1" selected="0">
            <x v="1"/>
          </reference>
          <reference field="8" count="1" selected="0">
            <x v="0"/>
          </reference>
        </references>
      </pivotArea>
    </format>
    <format dxfId="239">
      <pivotArea outline="0" fieldPosition="0">
        <references count="5">
          <reference field="1" count="1" selected="0">
            <x v="27"/>
          </reference>
          <reference field="2" count="1" selected="0">
            <x v="2"/>
          </reference>
          <reference field="3" count="1" selected="0">
            <x v="1"/>
          </reference>
          <reference field="5" count="1" selected="0">
            <x v="1"/>
          </reference>
          <reference field="8" count="1" selected="0">
            <x v="0"/>
          </reference>
        </references>
      </pivotArea>
    </format>
    <format dxfId="238">
      <pivotArea outline="0" fieldPosition="0">
        <references count="5">
          <reference field="1" count="1" selected="0">
            <x v="36"/>
          </reference>
          <reference field="2" count="1" selected="0">
            <x v="2"/>
          </reference>
          <reference field="3" count="1" selected="0">
            <x v="1"/>
          </reference>
          <reference field="5" count="1" selected="0">
            <x v="1"/>
          </reference>
          <reference field="8" count="1" selected="0">
            <x v="2"/>
          </reference>
        </references>
      </pivotArea>
    </format>
    <format dxfId="237">
      <pivotArea outline="0" fieldPosition="0">
        <references count="5">
          <reference field="1" count="1" selected="0">
            <x v="41"/>
          </reference>
          <reference field="2" count="1" selected="0">
            <x v="2"/>
          </reference>
          <reference field="3" count="1" selected="0">
            <x v="1"/>
          </reference>
          <reference field="5" count="1" selected="0">
            <x v="1"/>
          </reference>
          <reference field="8" count="1" selected="0">
            <x v="1"/>
          </reference>
        </references>
      </pivotArea>
    </format>
    <format dxfId="236">
      <pivotArea outline="0" fieldPosition="0">
        <references count="5">
          <reference field="1" count="1" selected="0">
            <x v="10"/>
          </reference>
          <reference field="2" count="1" selected="0">
            <x v="2"/>
          </reference>
          <reference field="3" count="1" selected="0">
            <x v="1"/>
          </reference>
          <reference field="5" count="1" selected="0">
            <x v="1"/>
          </reference>
          <reference field="8" count="1" selected="0">
            <x v="3"/>
          </reference>
        </references>
      </pivotArea>
    </format>
    <format dxfId="235">
      <pivotArea outline="0" fieldPosition="0">
        <references count="5">
          <reference field="1" count="1" selected="0">
            <x v="44"/>
          </reference>
          <reference field="2" count="1" selected="0">
            <x v="2"/>
          </reference>
          <reference field="3" count="1" selected="0">
            <x v="1"/>
          </reference>
          <reference field="5" count="1" selected="0">
            <x v="1"/>
          </reference>
          <reference field="8" count="1" selected="0">
            <x v="4"/>
          </reference>
        </references>
      </pivotArea>
    </format>
    <format dxfId="234">
      <pivotArea outline="0" fieldPosition="0">
        <references count="5">
          <reference field="1" count="1" selected="0">
            <x v="53"/>
          </reference>
          <reference field="2" count="1" selected="0">
            <x v="2"/>
          </reference>
          <reference field="3" count="1" selected="0">
            <x v="1"/>
          </reference>
          <reference field="5" count="1" selected="0">
            <x v="1"/>
          </reference>
          <reference field="8" count="1" selected="0">
            <x v="7"/>
          </reference>
        </references>
      </pivotArea>
    </format>
    <format dxfId="233">
      <pivotArea outline="0" fieldPosition="0">
        <references count="5">
          <reference field="1" count="1" selected="0">
            <x v="58"/>
          </reference>
          <reference field="2" count="1" selected="0">
            <x v="2"/>
          </reference>
          <reference field="3" count="1" selected="0">
            <x v="1"/>
          </reference>
          <reference field="5" count="1" selected="0">
            <x v="1"/>
          </reference>
          <reference field="8" count="1" selected="0">
            <x v="7"/>
          </reference>
        </references>
      </pivotArea>
    </format>
    <format dxfId="232">
      <pivotArea outline="0" collapsedLevelsAreSubtotals="1" fieldPosition="0"/>
    </format>
    <format dxfId="231">
      <pivotArea dataOnly="0" labelOnly="1" outline="0"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30">
      <pivotArea dataOnly="0" labelOnly="1" outline="0" fieldPosition="0">
        <references count="1">
          <reference field="1" count="11">
            <x v="50"/>
            <x v="51"/>
            <x v="52"/>
            <x v="53"/>
            <x v="54"/>
            <x v="55"/>
            <x v="56"/>
            <x v="57"/>
            <x v="58"/>
            <x v="59"/>
            <x v="60"/>
          </reference>
        </references>
      </pivotArea>
    </format>
    <format dxfId="229">
      <pivotArea dataOnly="0" labelOnly="1" outline="0" fieldPosition="0">
        <references count="2">
          <reference field="1" count="1" selected="0">
            <x v="0"/>
          </reference>
          <reference field="8" count="1">
            <x v="4"/>
          </reference>
        </references>
      </pivotArea>
    </format>
    <format dxfId="228">
      <pivotArea dataOnly="0" labelOnly="1" outline="0" fieldPosition="0">
        <references count="2">
          <reference field="1" count="1" selected="0">
            <x v="5"/>
          </reference>
          <reference field="8" count="1">
            <x v="6"/>
          </reference>
        </references>
      </pivotArea>
    </format>
    <format dxfId="227">
      <pivotArea dataOnly="0" labelOnly="1" outline="0" fieldPosition="0">
        <references count="2">
          <reference field="1" count="1" selected="0">
            <x v="7"/>
          </reference>
          <reference field="8" count="1">
            <x v="3"/>
          </reference>
        </references>
      </pivotArea>
    </format>
    <format dxfId="226">
      <pivotArea dataOnly="0" labelOnly="1" outline="0" fieldPosition="0">
        <references count="2">
          <reference field="1" count="1" selected="0">
            <x v="12"/>
          </reference>
          <reference field="8" count="1">
            <x v="0"/>
          </reference>
        </references>
      </pivotArea>
    </format>
    <format dxfId="225">
      <pivotArea dataOnly="0" labelOnly="1" outline="0" fieldPosition="0">
        <references count="2">
          <reference field="1" count="1" selected="0">
            <x v="33"/>
          </reference>
          <reference field="8" count="1">
            <x v="2"/>
          </reference>
        </references>
      </pivotArea>
    </format>
    <format dxfId="224">
      <pivotArea dataOnly="0" labelOnly="1" outline="0" fieldPosition="0">
        <references count="2">
          <reference field="1" count="1" selected="0">
            <x v="38"/>
          </reference>
          <reference field="8" count="1">
            <x v="1"/>
          </reference>
        </references>
      </pivotArea>
    </format>
    <format dxfId="223">
      <pivotArea dataOnly="0" labelOnly="1" outline="0" fieldPosition="0">
        <references count="2">
          <reference field="1" count="1" selected="0">
            <x v="43"/>
          </reference>
          <reference field="8" count="1">
            <x v="4"/>
          </reference>
        </references>
      </pivotArea>
    </format>
    <format dxfId="222">
      <pivotArea dataOnly="0" labelOnly="1" outline="0" fieldPosition="0">
        <references count="2">
          <reference field="1" count="1" selected="0">
            <x v="46"/>
          </reference>
          <reference field="8" count="1">
            <x v="5"/>
          </reference>
        </references>
      </pivotArea>
    </format>
    <format dxfId="221">
      <pivotArea dataOnly="0" labelOnly="1" outline="0" fieldPosition="0">
        <references count="2">
          <reference field="1" count="1" selected="0">
            <x v="48"/>
          </reference>
          <reference field="8" count="1">
            <x v="4"/>
          </reference>
        </references>
      </pivotArea>
    </format>
    <format dxfId="220">
      <pivotArea dataOnly="0" labelOnly="1" outline="0" fieldPosition="0">
        <references count="2">
          <reference field="1" count="1" selected="0">
            <x v="50"/>
          </reference>
          <reference field="8" count="1">
            <x v="7"/>
          </reference>
        </references>
      </pivotArea>
    </format>
    <format dxfId="219">
      <pivotArea dataOnly="0" labelOnly="1" outline="0" fieldPosition="0">
        <references count="2">
          <reference field="1" count="1" selected="0">
            <x v="60"/>
          </reference>
          <reference field="8" count="1">
            <x v="2"/>
          </reference>
        </references>
      </pivotArea>
    </format>
    <format dxfId="218">
      <pivotArea dataOnly="0" labelOnly="1" outline="0" fieldPosition="0">
        <references count="3">
          <reference field="1" count="1" selected="0">
            <x v="0"/>
          </reference>
          <reference field="2" count="1">
            <x v="2"/>
          </reference>
          <reference field="8" count="1" selected="0">
            <x v="4"/>
          </reference>
        </references>
      </pivotArea>
    </format>
    <format dxfId="217">
      <pivotArea dataOnly="0" labelOnly="1" outline="0" fieldPosition="0">
        <references count="3">
          <reference field="1" count="1" selected="0">
            <x v="2"/>
          </reference>
          <reference field="2" count="1">
            <x v="0"/>
          </reference>
          <reference field="8" count="1" selected="0">
            <x v="4"/>
          </reference>
        </references>
      </pivotArea>
    </format>
    <format dxfId="216">
      <pivotArea dataOnly="0" labelOnly="1" outline="0" fieldPosition="0">
        <references count="3">
          <reference field="1" count="1" selected="0">
            <x v="3"/>
          </reference>
          <reference field="2" count="1">
            <x v="1"/>
          </reference>
          <reference field="8" count="1" selected="0">
            <x v="4"/>
          </reference>
        </references>
      </pivotArea>
    </format>
    <format dxfId="215">
      <pivotArea dataOnly="0" labelOnly="1" outline="0" fieldPosition="0">
        <references count="3">
          <reference field="1" count="1" selected="0">
            <x v="5"/>
          </reference>
          <reference field="2" count="1">
            <x v="0"/>
          </reference>
          <reference field="8" count="1" selected="0">
            <x v="6"/>
          </reference>
        </references>
      </pivotArea>
    </format>
    <format dxfId="214">
      <pivotArea dataOnly="0" labelOnly="1" outline="0" fieldPosition="0">
        <references count="3">
          <reference field="1" count="1" selected="0">
            <x v="8"/>
          </reference>
          <reference field="2" count="1">
            <x v="1"/>
          </reference>
          <reference field="8" count="1" selected="0">
            <x v="3"/>
          </reference>
        </references>
      </pivotArea>
    </format>
    <format dxfId="213">
      <pivotArea dataOnly="0" labelOnly="1" outline="0" fieldPosition="0">
        <references count="3">
          <reference field="1" count="1" selected="0">
            <x v="10"/>
          </reference>
          <reference field="2" count="1">
            <x v="2"/>
          </reference>
          <reference field="8" count="1" selected="0">
            <x v="3"/>
          </reference>
        </references>
      </pivotArea>
    </format>
    <format dxfId="212">
      <pivotArea dataOnly="0" labelOnly="1" outline="0" fieldPosition="0">
        <references count="3">
          <reference field="1" count="1" selected="0">
            <x v="12"/>
          </reference>
          <reference field="2" count="1">
            <x v="0"/>
          </reference>
          <reference field="8" count="1" selected="0">
            <x v="0"/>
          </reference>
        </references>
      </pivotArea>
    </format>
    <format dxfId="211">
      <pivotArea dataOnly="0" labelOnly="1" outline="0" fieldPosition="0">
        <references count="3">
          <reference field="1" count="1" selected="0">
            <x v="13"/>
          </reference>
          <reference field="2" count="1">
            <x v="1"/>
          </reference>
          <reference field="8" count="1" selected="0">
            <x v="0"/>
          </reference>
        </references>
      </pivotArea>
    </format>
    <format dxfId="210">
      <pivotArea dataOnly="0" labelOnly="1" outline="0" fieldPosition="0">
        <references count="3">
          <reference field="1" count="1" selected="0">
            <x v="15"/>
          </reference>
          <reference field="2" count="1">
            <x v="2"/>
          </reference>
          <reference field="8" count="1" selected="0">
            <x v="0"/>
          </reference>
        </references>
      </pivotArea>
    </format>
    <format dxfId="209">
      <pivotArea dataOnly="0" labelOnly="1" outline="0" fieldPosition="0">
        <references count="3">
          <reference field="1" count="1" selected="0">
            <x v="17"/>
          </reference>
          <reference field="2" count="1">
            <x v="0"/>
          </reference>
          <reference field="8" count="1" selected="0">
            <x v="0"/>
          </reference>
        </references>
      </pivotArea>
    </format>
    <format dxfId="208">
      <pivotArea dataOnly="0" labelOnly="1" outline="0" fieldPosition="0">
        <references count="3">
          <reference field="1" count="1" selected="0">
            <x v="20"/>
          </reference>
          <reference field="2" count="1">
            <x v="1"/>
          </reference>
          <reference field="8" count="1" selected="0">
            <x v="0"/>
          </reference>
        </references>
      </pivotArea>
    </format>
    <format dxfId="207">
      <pivotArea dataOnly="0" labelOnly="1" outline="0" fieldPosition="0">
        <references count="3">
          <reference field="1" count="1" selected="0">
            <x v="22"/>
          </reference>
          <reference field="2" count="1">
            <x v="2"/>
          </reference>
          <reference field="8" count="1" selected="0">
            <x v="0"/>
          </reference>
        </references>
      </pivotArea>
    </format>
    <format dxfId="206">
      <pivotArea dataOnly="0" labelOnly="1" outline="0" fieldPosition="0">
        <references count="3">
          <reference field="1" count="1" selected="0">
            <x v="24"/>
          </reference>
          <reference field="2" count="1">
            <x v="0"/>
          </reference>
          <reference field="8" count="1" selected="0">
            <x v="0"/>
          </reference>
        </references>
      </pivotArea>
    </format>
    <format dxfId="205">
      <pivotArea dataOnly="0" labelOnly="1" outline="0" fieldPosition="0">
        <references count="3">
          <reference field="1" count="1" selected="0">
            <x v="25"/>
          </reference>
          <reference field="2" count="1">
            <x v="1"/>
          </reference>
          <reference field="8" count="1" selected="0">
            <x v="0"/>
          </reference>
        </references>
      </pivotArea>
    </format>
    <format dxfId="204">
      <pivotArea dataOnly="0" labelOnly="1" outline="0" fieldPosition="0">
        <references count="3">
          <reference field="1" count="1" selected="0">
            <x v="27"/>
          </reference>
          <reference field="2" count="1">
            <x v="2"/>
          </reference>
          <reference field="8" count="1" selected="0">
            <x v="0"/>
          </reference>
        </references>
      </pivotArea>
    </format>
    <format dxfId="203">
      <pivotArea dataOnly="0" labelOnly="1" outline="0" fieldPosition="0">
        <references count="3">
          <reference field="1" count="1" selected="0">
            <x v="31"/>
          </reference>
          <reference field="2" count="1">
            <x v="1"/>
          </reference>
          <reference field="8" count="1" selected="0">
            <x v="0"/>
          </reference>
        </references>
      </pivotArea>
    </format>
    <format dxfId="202">
      <pivotArea dataOnly="0" labelOnly="1" outline="0" fieldPosition="0">
        <references count="3">
          <reference field="1" count="1" selected="0">
            <x v="33"/>
          </reference>
          <reference field="2" count="1">
            <x v="0"/>
          </reference>
          <reference field="8" count="1" selected="0">
            <x v="2"/>
          </reference>
        </references>
      </pivotArea>
    </format>
    <format dxfId="201">
      <pivotArea dataOnly="0" labelOnly="1" outline="0" fieldPosition="0">
        <references count="3">
          <reference field="1" count="1" selected="0">
            <x v="34"/>
          </reference>
          <reference field="2" count="1">
            <x v="1"/>
          </reference>
          <reference field="8" count="1" selected="0">
            <x v="2"/>
          </reference>
        </references>
      </pivotArea>
    </format>
    <format dxfId="200">
      <pivotArea dataOnly="0" labelOnly="1" outline="0" fieldPosition="0">
        <references count="3">
          <reference field="1" count="1" selected="0">
            <x v="36"/>
          </reference>
          <reference field="2" count="1">
            <x v="2"/>
          </reference>
          <reference field="8" count="1" selected="0">
            <x v="2"/>
          </reference>
        </references>
      </pivotArea>
    </format>
    <format dxfId="199">
      <pivotArea dataOnly="0" labelOnly="1" outline="0" fieldPosition="0">
        <references count="3">
          <reference field="1" count="1" selected="0">
            <x v="38"/>
          </reference>
          <reference field="2" count="1">
            <x v="0"/>
          </reference>
          <reference field="8" count="1" selected="0">
            <x v="1"/>
          </reference>
        </references>
      </pivotArea>
    </format>
    <format dxfId="198">
      <pivotArea dataOnly="0" labelOnly="1" outline="0" fieldPosition="0">
        <references count="3">
          <reference field="1" count="1" selected="0">
            <x v="39"/>
          </reference>
          <reference field="2" count="1">
            <x v="1"/>
          </reference>
          <reference field="8" count="1" selected="0">
            <x v="1"/>
          </reference>
        </references>
      </pivotArea>
    </format>
    <format dxfId="197">
      <pivotArea dataOnly="0" labelOnly="1" outline="0" fieldPosition="0">
        <references count="3">
          <reference field="1" count="1" selected="0">
            <x v="41"/>
          </reference>
          <reference field="2" count="1">
            <x v="2"/>
          </reference>
          <reference field="8" count="1" selected="0">
            <x v="1"/>
          </reference>
        </references>
      </pivotArea>
    </format>
    <format dxfId="196">
      <pivotArea dataOnly="0" labelOnly="1" outline="0" fieldPosition="0">
        <references count="3">
          <reference field="1" count="1" selected="0">
            <x v="45"/>
          </reference>
          <reference field="2" count="1">
            <x v="0"/>
          </reference>
          <reference field="8" count="1" selected="0">
            <x v="4"/>
          </reference>
        </references>
      </pivotArea>
    </format>
    <format dxfId="195">
      <pivotArea dataOnly="0" labelOnly="1" outline="0" fieldPosition="0">
        <references count="3">
          <reference field="1" count="1" selected="0">
            <x v="46"/>
          </reference>
          <reference field="2" count="1">
            <x v="1"/>
          </reference>
          <reference field="8" count="1" selected="0">
            <x v="5"/>
          </reference>
        </references>
      </pivotArea>
    </format>
    <format dxfId="194">
      <pivotArea dataOnly="0" labelOnly="1" outline="0" fieldPosition="0">
        <references count="3">
          <reference field="1" count="1" selected="0">
            <x v="47"/>
          </reference>
          <reference field="2" count="1">
            <x v="2"/>
          </reference>
          <reference field="8" count="1" selected="0">
            <x v="5"/>
          </reference>
        </references>
      </pivotArea>
    </format>
    <format dxfId="193">
      <pivotArea dataOnly="0" labelOnly="1" outline="0" fieldPosition="0">
        <references count="3">
          <reference field="1" count="1" selected="0">
            <x v="48"/>
          </reference>
          <reference field="2" count="1">
            <x v="1"/>
          </reference>
          <reference field="8" count="1" selected="0">
            <x v="4"/>
          </reference>
        </references>
      </pivotArea>
    </format>
    <format dxfId="192">
      <pivotArea dataOnly="0" labelOnly="1" outline="0" fieldPosition="0">
        <references count="3">
          <reference field="1" count="1" selected="0">
            <x v="50"/>
          </reference>
          <reference field="2" count="1">
            <x v="0"/>
          </reference>
          <reference field="8" count="1" selected="0">
            <x v="7"/>
          </reference>
        </references>
      </pivotArea>
    </format>
    <format dxfId="191">
      <pivotArea dataOnly="0" labelOnly="1" outline="0" fieldPosition="0">
        <references count="3">
          <reference field="1" count="1" selected="0">
            <x v="51"/>
          </reference>
          <reference field="2" count="1">
            <x v="1"/>
          </reference>
          <reference field="8" count="1" selected="0">
            <x v="7"/>
          </reference>
        </references>
      </pivotArea>
    </format>
    <format dxfId="190">
      <pivotArea dataOnly="0" labelOnly="1" outline="0" fieldPosition="0">
        <references count="3">
          <reference field="1" count="1" selected="0">
            <x v="53"/>
          </reference>
          <reference field="2" count="1">
            <x v="2"/>
          </reference>
          <reference field="8" count="1" selected="0">
            <x v="7"/>
          </reference>
        </references>
      </pivotArea>
    </format>
    <format dxfId="189">
      <pivotArea dataOnly="0" labelOnly="1" outline="0" fieldPosition="0">
        <references count="3">
          <reference field="1" count="1" selected="0">
            <x v="55"/>
          </reference>
          <reference field="2" count="1">
            <x v="0"/>
          </reference>
          <reference field="8" count="1" selected="0">
            <x v="7"/>
          </reference>
        </references>
      </pivotArea>
    </format>
    <format dxfId="188">
      <pivotArea dataOnly="0" labelOnly="1" outline="0" fieldPosition="0">
        <references count="3">
          <reference field="1" count="1" selected="0">
            <x v="56"/>
          </reference>
          <reference field="2" count="1">
            <x v="1"/>
          </reference>
          <reference field="8" count="1" selected="0">
            <x v="7"/>
          </reference>
        </references>
      </pivotArea>
    </format>
    <format dxfId="187">
      <pivotArea dataOnly="0" labelOnly="1" outline="0" fieldPosition="0">
        <references count="3">
          <reference field="1" count="1" selected="0">
            <x v="58"/>
          </reference>
          <reference field="2" count="1">
            <x v="2"/>
          </reference>
          <reference field="8" count="1" selected="0">
            <x v="7"/>
          </reference>
        </references>
      </pivotArea>
    </format>
    <format dxfId="186">
      <pivotArea dataOnly="0" labelOnly="1" outline="0" fieldPosition="0">
        <references count="3">
          <reference field="1" count="1" selected="0">
            <x v="60"/>
          </reference>
          <reference field="2" count="1">
            <x v="0"/>
          </reference>
          <reference field="8" count="1" selected="0">
            <x v="2"/>
          </reference>
        </references>
      </pivotArea>
    </format>
    <format dxfId="185">
      <pivotArea dataOnly="0" labelOnly="1" outline="0" fieldPosition="0">
        <references count="4">
          <reference field="1" count="1" selected="0">
            <x v="0"/>
          </reference>
          <reference field="2" count="1" selected="0">
            <x v="2"/>
          </reference>
          <reference field="3" count="1">
            <x v="0"/>
          </reference>
          <reference field="8" count="1" selected="0">
            <x v="4"/>
          </reference>
        </references>
      </pivotArea>
    </format>
    <format dxfId="184">
      <pivotArea dataOnly="0" labelOnly="1" outline="0" fieldPosition="0">
        <references count="4">
          <reference field="1" count="1" selected="0">
            <x v="1"/>
          </reference>
          <reference field="2" count="1" selected="0">
            <x v="2"/>
          </reference>
          <reference field="3" count="1">
            <x v="1"/>
          </reference>
          <reference field="8" count="1" selected="0">
            <x v="4"/>
          </reference>
        </references>
      </pivotArea>
    </format>
    <format dxfId="183">
      <pivotArea dataOnly="0" labelOnly="1" outline="0" fieldPosition="0">
        <references count="4">
          <reference field="1" count="1" selected="0">
            <x v="2"/>
          </reference>
          <reference field="2" count="1" selected="0">
            <x v="0"/>
          </reference>
          <reference field="3" count="1">
            <x v="1"/>
          </reference>
          <reference field="8" count="1" selected="0">
            <x v="4"/>
          </reference>
        </references>
      </pivotArea>
    </format>
    <format dxfId="182">
      <pivotArea dataOnly="0" labelOnly="1" outline="0" fieldPosition="0">
        <references count="4">
          <reference field="1" count="1" selected="0">
            <x v="3"/>
          </reference>
          <reference field="2" count="1" selected="0">
            <x v="1"/>
          </reference>
          <reference field="3" count="1">
            <x v="1"/>
          </reference>
          <reference field="8" count="1" selected="0">
            <x v="4"/>
          </reference>
        </references>
      </pivotArea>
    </format>
    <format dxfId="181">
      <pivotArea dataOnly="0" labelOnly="1" outline="0" fieldPosition="0">
        <references count="4">
          <reference field="1" count="1" selected="0">
            <x v="4"/>
          </reference>
          <reference field="2" count="1" selected="0">
            <x v="1"/>
          </reference>
          <reference field="3" count="1">
            <x v="0"/>
          </reference>
          <reference field="8" count="1" selected="0">
            <x v="4"/>
          </reference>
        </references>
      </pivotArea>
    </format>
    <format dxfId="180">
      <pivotArea dataOnly="0" labelOnly="1" outline="0" fieldPosition="0">
        <references count="4">
          <reference field="1" count="1" selected="0">
            <x v="5"/>
          </reference>
          <reference field="2" count="1" selected="0">
            <x v="0"/>
          </reference>
          <reference field="3" count="1">
            <x v="1"/>
          </reference>
          <reference field="8" count="1" selected="0">
            <x v="6"/>
          </reference>
        </references>
      </pivotArea>
    </format>
    <format dxfId="179">
      <pivotArea dataOnly="0" labelOnly="1" outline="0" fieldPosition="0">
        <references count="4">
          <reference field="1" count="1" selected="0">
            <x v="6"/>
          </reference>
          <reference field="2" count="1" selected="0">
            <x v="0"/>
          </reference>
          <reference field="3" count="1">
            <x v="1"/>
          </reference>
          <reference field="8" count="1" selected="0">
            <x v="6"/>
          </reference>
        </references>
      </pivotArea>
    </format>
    <format dxfId="178">
      <pivotArea dataOnly="0" labelOnly="1" outline="0" fieldPosition="0">
        <references count="4">
          <reference field="1" count="1" selected="0">
            <x v="7"/>
          </reference>
          <reference field="2" count="1" selected="0">
            <x v="0"/>
          </reference>
          <reference field="3" count="1">
            <x v="1"/>
          </reference>
          <reference field="8" count="1" selected="0">
            <x v="3"/>
          </reference>
        </references>
      </pivotArea>
    </format>
    <format dxfId="177">
      <pivotArea dataOnly="0" labelOnly="1" outline="0" fieldPosition="0">
        <references count="4">
          <reference field="1" count="1" selected="0">
            <x v="8"/>
          </reference>
          <reference field="2" count="1" selected="0">
            <x v="1"/>
          </reference>
          <reference field="3" count="1">
            <x v="1"/>
          </reference>
          <reference field="8" count="1" selected="0">
            <x v="3"/>
          </reference>
        </references>
      </pivotArea>
    </format>
    <format dxfId="176">
      <pivotArea dataOnly="0" labelOnly="1" outline="0" fieldPosition="0">
        <references count="4">
          <reference field="1" count="1" selected="0">
            <x v="9"/>
          </reference>
          <reference field="2" count="1" selected="0">
            <x v="1"/>
          </reference>
          <reference field="3" count="1">
            <x v="0"/>
          </reference>
          <reference field="8" count="1" selected="0">
            <x v="3"/>
          </reference>
        </references>
      </pivotArea>
    </format>
    <format dxfId="175">
      <pivotArea dataOnly="0" labelOnly="1" outline="0" fieldPosition="0">
        <references count="4">
          <reference field="1" count="1" selected="0">
            <x v="10"/>
          </reference>
          <reference field="2" count="1" selected="0">
            <x v="2"/>
          </reference>
          <reference field="3" count="1">
            <x v="1"/>
          </reference>
          <reference field="8" count="1" selected="0">
            <x v="3"/>
          </reference>
        </references>
      </pivotArea>
    </format>
    <format dxfId="174">
      <pivotArea dataOnly="0" labelOnly="1" outline="0" fieldPosition="0">
        <references count="4">
          <reference field="1" count="1" selected="0">
            <x v="11"/>
          </reference>
          <reference field="2" count="1" selected="0">
            <x v="2"/>
          </reference>
          <reference field="3" count="1">
            <x v="0"/>
          </reference>
          <reference field="8" count="1" selected="0">
            <x v="3"/>
          </reference>
        </references>
      </pivotArea>
    </format>
    <format dxfId="173">
      <pivotArea dataOnly="0" labelOnly="1" outline="0" fieldPosition="0">
        <references count="4">
          <reference field="1" count="1" selected="0">
            <x v="12"/>
          </reference>
          <reference field="2" count="1" selected="0">
            <x v="0"/>
          </reference>
          <reference field="3" count="1">
            <x v="1"/>
          </reference>
          <reference field="8" count="1" selected="0">
            <x v="0"/>
          </reference>
        </references>
      </pivotArea>
    </format>
    <format dxfId="172">
      <pivotArea dataOnly="0" labelOnly="1" outline="0" fieldPosition="0">
        <references count="4">
          <reference field="1" count="1" selected="0">
            <x v="13"/>
          </reference>
          <reference field="2" count="1" selected="0">
            <x v="1"/>
          </reference>
          <reference field="3" count="1">
            <x v="1"/>
          </reference>
          <reference field="8" count="1" selected="0">
            <x v="0"/>
          </reference>
        </references>
      </pivotArea>
    </format>
    <format dxfId="171">
      <pivotArea dataOnly="0" labelOnly="1" outline="0" fieldPosition="0">
        <references count="4">
          <reference field="1" count="1" selected="0">
            <x v="14"/>
          </reference>
          <reference field="2" count="1" selected="0">
            <x v="1"/>
          </reference>
          <reference field="3" count="1">
            <x v="0"/>
          </reference>
          <reference field="8" count="1" selected="0">
            <x v="0"/>
          </reference>
        </references>
      </pivotArea>
    </format>
    <format dxfId="170">
      <pivotArea dataOnly="0" labelOnly="1" outline="0" fieldPosition="0">
        <references count="4">
          <reference field="1" count="1" selected="0">
            <x v="15"/>
          </reference>
          <reference field="2" count="1" selected="0">
            <x v="2"/>
          </reference>
          <reference field="3" count="1">
            <x v="1"/>
          </reference>
          <reference field="8" count="1" selected="0">
            <x v="0"/>
          </reference>
        </references>
      </pivotArea>
    </format>
    <format dxfId="169">
      <pivotArea dataOnly="0" labelOnly="1" outline="0" fieldPosition="0">
        <references count="4">
          <reference field="1" count="1" selected="0">
            <x v="16"/>
          </reference>
          <reference field="2" count="1" selected="0">
            <x v="2"/>
          </reference>
          <reference field="3" count="1">
            <x v="0"/>
          </reference>
          <reference field="8" count="1" selected="0">
            <x v="0"/>
          </reference>
        </references>
      </pivotArea>
    </format>
    <format dxfId="168">
      <pivotArea dataOnly="0" labelOnly="1" outline="0" fieldPosition="0">
        <references count="4">
          <reference field="1" count="1" selected="0">
            <x v="17"/>
          </reference>
          <reference field="2" count="1" selected="0">
            <x v="0"/>
          </reference>
          <reference field="3" count="1">
            <x v="0"/>
          </reference>
          <reference field="8" count="1" selected="0">
            <x v="0"/>
          </reference>
        </references>
      </pivotArea>
    </format>
    <format dxfId="167">
      <pivotArea dataOnly="0" labelOnly="1" outline="0" fieldPosition="0">
        <references count="4">
          <reference field="1" count="1" selected="0">
            <x v="18"/>
          </reference>
          <reference field="2" count="1" selected="0">
            <x v="0"/>
          </reference>
          <reference field="3" count="1">
            <x v="1"/>
          </reference>
          <reference field="8" count="1" selected="0">
            <x v="0"/>
          </reference>
        </references>
      </pivotArea>
    </format>
    <format dxfId="166">
      <pivotArea dataOnly="0" labelOnly="1" outline="0" fieldPosition="0">
        <references count="4">
          <reference field="1" count="1" selected="0">
            <x v="19"/>
          </reference>
          <reference field="2" count="1" selected="0">
            <x v="0"/>
          </reference>
          <reference field="3" count="1">
            <x v="1"/>
          </reference>
          <reference field="8" count="1" selected="0">
            <x v="0"/>
          </reference>
        </references>
      </pivotArea>
    </format>
    <format dxfId="165">
      <pivotArea dataOnly="0" labelOnly="1" outline="0" fieldPosition="0">
        <references count="4">
          <reference field="1" count="1" selected="0">
            <x v="20"/>
          </reference>
          <reference field="2" count="1" selected="0">
            <x v="1"/>
          </reference>
          <reference field="3" count="1">
            <x v="1"/>
          </reference>
          <reference field="8" count="1" selected="0">
            <x v="0"/>
          </reference>
        </references>
      </pivotArea>
    </format>
    <format dxfId="164">
      <pivotArea dataOnly="0" labelOnly="1" outline="0" fieldPosition="0">
        <references count="4">
          <reference field="1" count="1" selected="0">
            <x v="21"/>
          </reference>
          <reference field="2" count="1" selected="0">
            <x v="1"/>
          </reference>
          <reference field="3" count="1">
            <x v="0"/>
          </reference>
          <reference field="8" count="1" selected="0">
            <x v="0"/>
          </reference>
        </references>
      </pivotArea>
    </format>
    <format dxfId="163">
      <pivotArea dataOnly="0" labelOnly="1" outline="0" fieldPosition="0">
        <references count="4">
          <reference field="1" count="1" selected="0">
            <x v="22"/>
          </reference>
          <reference field="2" count="1" selected="0">
            <x v="2"/>
          </reference>
          <reference field="3" count="1">
            <x v="1"/>
          </reference>
          <reference field="8" count="1" selected="0">
            <x v="0"/>
          </reference>
        </references>
      </pivotArea>
    </format>
    <format dxfId="162">
      <pivotArea dataOnly="0" labelOnly="1" outline="0" fieldPosition="0">
        <references count="4">
          <reference field="1" count="1" selected="0">
            <x v="23"/>
          </reference>
          <reference field="2" count="1" selected="0">
            <x v="2"/>
          </reference>
          <reference field="3" count="1">
            <x v="0"/>
          </reference>
          <reference field="8" count="1" selected="0">
            <x v="0"/>
          </reference>
        </references>
      </pivotArea>
    </format>
    <format dxfId="161">
      <pivotArea dataOnly="0" labelOnly="1" outline="0" fieldPosition="0">
        <references count="4">
          <reference field="1" count="1" selected="0">
            <x v="24"/>
          </reference>
          <reference field="2" count="1" selected="0">
            <x v="0"/>
          </reference>
          <reference field="3" count="1">
            <x v="1"/>
          </reference>
          <reference field="8" count="1" selected="0">
            <x v="0"/>
          </reference>
        </references>
      </pivotArea>
    </format>
    <format dxfId="160">
      <pivotArea dataOnly="0" labelOnly="1" outline="0" fieldPosition="0">
        <references count="4">
          <reference field="1" count="1" selected="0">
            <x v="25"/>
          </reference>
          <reference field="2" count="1" selected="0">
            <x v="1"/>
          </reference>
          <reference field="3" count="1">
            <x v="1"/>
          </reference>
          <reference field="8" count="1" selected="0">
            <x v="0"/>
          </reference>
        </references>
      </pivotArea>
    </format>
    <format dxfId="159">
      <pivotArea dataOnly="0" labelOnly="1" outline="0" fieldPosition="0">
        <references count="4">
          <reference field="1" count="1" selected="0">
            <x v="26"/>
          </reference>
          <reference field="2" count="1" selected="0">
            <x v="1"/>
          </reference>
          <reference field="3" count="1">
            <x v="0"/>
          </reference>
          <reference field="8" count="1" selected="0">
            <x v="0"/>
          </reference>
        </references>
      </pivotArea>
    </format>
    <format dxfId="158">
      <pivotArea dataOnly="0" labelOnly="1" outline="0" fieldPosition="0">
        <references count="4">
          <reference field="1" count="1" selected="0">
            <x v="27"/>
          </reference>
          <reference field="2" count="1" selected="0">
            <x v="2"/>
          </reference>
          <reference field="3" count="1">
            <x v="1"/>
          </reference>
          <reference field="8" count="1" selected="0">
            <x v="0"/>
          </reference>
        </references>
      </pivotArea>
    </format>
    <format dxfId="157">
      <pivotArea dataOnly="0" labelOnly="1" outline="0" fieldPosition="0">
        <references count="4">
          <reference field="1" count="1" selected="0">
            <x v="28"/>
          </reference>
          <reference field="2" count="1" selected="0">
            <x v="2"/>
          </reference>
          <reference field="3" count="1">
            <x v="0"/>
          </reference>
          <reference field="8" count="1" selected="0">
            <x v="0"/>
          </reference>
        </references>
      </pivotArea>
    </format>
    <format dxfId="156">
      <pivotArea dataOnly="0" labelOnly="1" outline="0" fieldPosition="0">
        <references count="4">
          <reference field="1" count="1" selected="0">
            <x v="29"/>
          </reference>
          <reference field="2" count="1" selected="0">
            <x v="2"/>
          </reference>
          <reference field="3" count="1">
            <x v="1"/>
          </reference>
          <reference field="8" count="1" selected="0">
            <x v="0"/>
          </reference>
        </references>
      </pivotArea>
    </format>
    <format dxfId="155">
      <pivotArea dataOnly="0" labelOnly="1" outline="0" fieldPosition="0">
        <references count="4">
          <reference field="1" count="1" selected="0">
            <x v="30"/>
          </reference>
          <reference field="2" count="1" selected="0">
            <x v="2"/>
          </reference>
          <reference field="3" count="1">
            <x v="0"/>
          </reference>
          <reference field="8" count="1" selected="0">
            <x v="0"/>
          </reference>
        </references>
      </pivotArea>
    </format>
    <format dxfId="154">
      <pivotArea dataOnly="0" labelOnly="1" outline="0" fieldPosition="0">
        <references count="4">
          <reference field="1" count="1" selected="0">
            <x v="31"/>
          </reference>
          <reference field="2" count="1" selected="0">
            <x v="1"/>
          </reference>
          <reference field="3" count="1">
            <x v="1"/>
          </reference>
          <reference field="8" count="1" selected="0">
            <x v="0"/>
          </reference>
        </references>
      </pivotArea>
    </format>
    <format dxfId="153">
      <pivotArea dataOnly="0" labelOnly="1" outline="0" fieldPosition="0">
        <references count="4">
          <reference field="1" count="1" selected="0">
            <x v="32"/>
          </reference>
          <reference field="2" count="1" selected="0">
            <x v="1"/>
          </reference>
          <reference field="3" count="1">
            <x v="0"/>
          </reference>
          <reference field="8" count="1" selected="0">
            <x v="0"/>
          </reference>
        </references>
      </pivotArea>
    </format>
    <format dxfId="152">
      <pivotArea dataOnly="0" labelOnly="1" outline="0" fieldPosition="0">
        <references count="4">
          <reference field="1" count="1" selected="0">
            <x v="33"/>
          </reference>
          <reference field="2" count="1" selected="0">
            <x v="0"/>
          </reference>
          <reference field="3" count="1">
            <x v="1"/>
          </reference>
          <reference field="8" count="1" selected="0">
            <x v="2"/>
          </reference>
        </references>
      </pivotArea>
    </format>
    <format dxfId="151">
      <pivotArea dataOnly="0" labelOnly="1" outline="0" fieldPosition="0">
        <references count="4">
          <reference field="1" count="1" selected="0">
            <x v="34"/>
          </reference>
          <reference field="2" count="1" selected="0">
            <x v="1"/>
          </reference>
          <reference field="3" count="1">
            <x v="1"/>
          </reference>
          <reference field="8" count="1" selected="0">
            <x v="2"/>
          </reference>
        </references>
      </pivotArea>
    </format>
    <format dxfId="150">
      <pivotArea dataOnly="0" labelOnly="1" outline="0" fieldPosition="0">
        <references count="4">
          <reference field="1" count="1" selected="0">
            <x v="35"/>
          </reference>
          <reference field="2" count="1" selected="0">
            <x v="1"/>
          </reference>
          <reference field="3" count="1">
            <x v="0"/>
          </reference>
          <reference field="8" count="1" selected="0">
            <x v="2"/>
          </reference>
        </references>
      </pivotArea>
    </format>
    <format dxfId="149">
      <pivotArea dataOnly="0" labelOnly="1" outline="0" fieldPosition="0">
        <references count="4">
          <reference field="1" count="1" selected="0">
            <x v="36"/>
          </reference>
          <reference field="2" count="1" selected="0">
            <x v="2"/>
          </reference>
          <reference field="3" count="1">
            <x v="1"/>
          </reference>
          <reference field="8" count="1" selected="0">
            <x v="2"/>
          </reference>
        </references>
      </pivotArea>
    </format>
    <format dxfId="148">
      <pivotArea dataOnly="0" labelOnly="1" outline="0" fieldPosition="0">
        <references count="4">
          <reference field="1" count="1" selected="0">
            <x v="37"/>
          </reference>
          <reference field="2" count="1" selected="0">
            <x v="2"/>
          </reference>
          <reference field="3" count="1">
            <x v="0"/>
          </reference>
          <reference field="8" count="1" selected="0">
            <x v="2"/>
          </reference>
        </references>
      </pivotArea>
    </format>
    <format dxfId="147">
      <pivotArea dataOnly="0" labelOnly="1" outline="0" fieldPosition="0">
        <references count="4">
          <reference field="1" count="1" selected="0">
            <x v="38"/>
          </reference>
          <reference field="2" count="1" selected="0">
            <x v="0"/>
          </reference>
          <reference field="3" count="1">
            <x v="1"/>
          </reference>
          <reference field="8" count="1" selected="0">
            <x v="1"/>
          </reference>
        </references>
      </pivotArea>
    </format>
    <format dxfId="146">
      <pivotArea dataOnly="0" labelOnly="1" outline="0" fieldPosition="0">
        <references count="4">
          <reference field="1" count="1" selected="0">
            <x v="39"/>
          </reference>
          <reference field="2" count="1" selected="0">
            <x v="1"/>
          </reference>
          <reference field="3" count="1">
            <x v="1"/>
          </reference>
          <reference field="8" count="1" selected="0">
            <x v="1"/>
          </reference>
        </references>
      </pivotArea>
    </format>
    <format dxfId="145">
      <pivotArea dataOnly="0" labelOnly="1" outline="0" fieldPosition="0">
        <references count="4">
          <reference field="1" count="1" selected="0">
            <x v="40"/>
          </reference>
          <reference field="2" count="1" selected="0">
            <x v="1"/>
          </reference>
          <reference field="3" count="1">
            <x v="0"/>
          </reference>
          <reference field="8" count="1" selected="0">
            <x v="1"/>
          </reference>
        </references>
      </pivotArea>
    </format>
    <format dxfId="144">
      <pivotArea dataOnly="0" labelOnly="1" outline="0" fieldPosition="0">
        <references count="4">
          <reference field="1" count="1" selected="0">
            <x v="41"/>
          </reference>
          <reference field="2" count="1" selected="0">
            <x v="2"/>
          </reference>
          <reference field="3" count="1">
            <x v="1"/>
          </reference>
          <reference field="8" count="1" selected="0">
            <x v="1"/>
          </reference>
        </references>
      </pivotArea>
    </format>
    <format dxfId="143">
      <pivotArea dataOnly="0" labelOnly="1" outline="0" fieldPosition="0">
        <references count="4">
          <reference field="1" count="1" selected="0">
            <x v="42"/>
          </reference>
          <reference field="2" count="1" selected="0">
            <x v="2"/>
          </reference>
          <reference field="3" count="1">
            <x v="0"/>
          </reference>
          <reference field="8" count="1" selected="0">
            <x v="1"/>
          </reference>
        </references>
      </pivotArea>
    </format>
    <format dxfId="142">
      <pivotArea dataOnly="0" labelOnly="1" outline="0" fieldPosition="0">
        <references count="4">
          <reference field="1" count="1" selected="0">
            <x v="43"/>
          </reference>
          <reference field="2" count="1" selected="0">
            <x v="2"/>
          </reference>
          <reference field="3" count="1">
            <x v="0"/>
          </reference>
          <reference field="8" count="1" selected="0">
            <x v="4"/>
          </reference>
        </references>
      </pivotArea>
    </format>
    <format dxfId="141">
      <pivotArea dataOnly="0" labelOnly="1" outline="0" fieldPosition="0">
        <references count="4">
          <reference field="1" count="1" selected="0">
            <x v="44"/>
          </reference>
          <reference field="2" count="1" selected="0">
            <x v="2"/>
          </reference>
          <reference field="3" count="1">
            <x v="1"/>
          </reference>
          <reference field="8" count="1" selected="0">
            <x v="4"/>
          </reference>
        </references>
      </pivotArea>
    </format>
    <format dxfId="140">
      <pivotArea dataOnly="0" labelOnly="1" outline="0" fieldPosition="0">
        <references count="4">
          <reference field="1" count="1" selected="0">
            <x v="45"/>
          </reference>
          <reference field="2" count="1" selected="0">
            <x v="0"/>
          </reference>
          <reference field="3" count="1">
            <x v="1"/>
          </reference>
          <reference field="8" count="1" selected="0">
            <x v="4"/>
          </reference>
        </references>
      </pivotArea>
    </format>
    <format dxfId="139">
      <pivotArea dataOnly="0" labelOnly="1" outline="0" fieldPosition="0">
        <references count="4">
          <reference field="1" count="1" selected="0">
            <x v="46"/>
          </reference>
          <reference field="2" count="1" selected="0">
            <x v="1"/>
          </reference>
          <reference field="3" count="1">
            <x v="0"/>
          </reference>
          <reference field="8" count="1" selected="0">
            <x v="5"/>
          </reference>
        </references>
      </pivotArea>
    </format>
    <format dxfId="138">
      <pivotArea dataOnly="0" labelOnly="1" outline="0" fieldPosition="0">
        <references count="4">
          <reference field="1" count="1" selected="0">
            <x v="47"/>
          </reference>
          <reference field="2" count="1" selected="0">
            <x v="2"/>
          </reference>
          <reference field="3" count="1">
            <x v="0"/>
          </reference>
          <reference field="8" count="1" selected="0">
            <x v="5"/>
          </reference>
        </references>
      </pivotArea>
    </format>
    <format dxfId="137">
      <pivotArea dataOnly="0" labelOnly="1" outline="0" fieldPosition="0">
        <references count="4">
          <reference field="1" count="1" selected="0">
            <x v="48"/>
          </reference>
          <reference field="2" count="1" selected="0">
            <x v="1"/>
          </reference>
          <reference field="3" count="1">
            <x v="1"/>
          </reference>
          <reference field="8" count="1" selected="0">
            <x v="4"/>
          </reference>
        </references>
      </pivotArea>
    </format>
    <format dxfId="136">
      <pivotArea dataOnly="0" labelOnly="1" outline="0" fieldPosition="0">
        <references count="4">
          <reference field="1" count="1" selected="0">
            <x v="49"/>
          </reference>
          <reference field="2" count="1" selected="0">
            <x v="1"/>
          </reference>
          <reference field="3" count="1">
            <x v="0"/>
          </reference>
          <reference field="8" count="1" selected="0">
            <x v="4"/>
          </reference>
        </references>
      </pivotArea>
    </format>
    <format dxfId="135">
      <pivotArea dataOnly="0" labelOnly="1" outline="0" fieldPosition="0">
        <references count="4">
          <reference field="1" count="1" selected="0">
            <x v="50"/>
          </reference>
          <reference field="2" count="1" selected="0">
            <x v="0"/>
          </reference>
          <reference field="3" count="1">
            <x v="1"/>
          </reference>
          <reference field="8" count="1" selected="0">
            <x v="7"/>
          </reference>
        </references>
      </pivotArea>
    </format>
    <format dxfId="134">
      <pivotArea dataOnly="0" labelOnly="1" outline="0" fieldPosition="0">
        <references count="4">
          <reference field="1" count="1" selected="0">
            <x v="51"/>
          </reference>
          <reference field="2" count="1" selected="0">
            <x v="1"/>
          </reference>
          <reference field="3" count="1">
            <x v="1"/>
          </reference>
          <reference field="8" count="1" selected="0">
            <x v="7"/>
          </reference>
        </references>
      </pivotArea>
    </format>
    <format dxfId="133">
      <pivotArea dataOnly="0" labelOnly="1" outline="0" fieldPosition="0">
        <references count="4">
          <reference field="1" count="1" selected="0">
            <x v="52"/>
          </reference>
          <reference field="2" count="1" selected="0">
            <x v="1"/>
          </reference>
          <reference field="3" count="1">
            <x v="0"/>
          </reference>
          <reference field="8" count="1" selected="0">
            <x v="7"/>
          </reference>
        </references>
      </pivotArea>
    </format>
    <format dxfId="132">
      <pivotArea dataOnly="0" labelOnly="1" outline="0" fieldPosition="0">
        <references count="4">
          <reference field="1" count="1" selected="0">
            <x v="53"/>
          </reference>
          <reference field="2" count="1" selected="0">
            <x v="2"/>
          </reference>
          <reference field="3" count="1">
            <x v="1"/>
          </reference>
          <reference field="8" count="1" selected="0">
            <x v="7"/>
          </reference>
        </references>
      </pivotArea>
    </format>
    <format dxfId="131">
      <pivotArea dataOnly="0" labelOnly="1" outline="0" fieldPosition="0">
        <references count="4">
          <reference field="1" count="1" selected="0">
            <x v="54"/>
          </reference>
          <reference field="2" count="1" selected="0">
            <x v="2"/>
          </reference>
          <reference field="3" count="1">
            <x v="0"/>
          </reference>
          <reference field="8" count="1" selected="0">
            <x v="7"/>
          </reference>
        </references>
      </pivotArea>
    </format>
    <format dxfId="130">
      <pivotArea dataOnly="0" labelOnly="1" outline="0" fieldPosition="0">
        <references count="4">
          <reference field="1" count="1" selected="0">
            <x v="55"/>
          </reference>
          <reference field="2" count="1" selected="0">
            <x v="0"/>
          </reference>
          <reference field="3" count="1">
            <x v="1"/>
          </reference>
          <reference field="8" count="1" selected="0">
            <x v="7"/>
          </reference>
        </references>
      </pivotArea>
    </format>
    <format dxfId="129">
      <pivotArea dataOnly="0" labelOnly="1" outline="0" fieldPosition="0">
        <references count="4">
          <reference field="1" count="1" selected="0">
            <x v="56"/>
          </reference>
          <reference field="2" count="1" selected="0">
            <x v="1"/>
          </reference>
          <reference field="3" count="1">
            <x v="1"/>
          </reference>
          <reference field="8" count="1" selected="0">
            <x v="7"/>
          </reference>
        </references>
      </pivotArea>
    </format>
    <format dxfId="128">
      <pivotArea dataOnly="0" labelOnly="1" outline="0" fieldPosition="0">
        <references count="4">
          <reference field="1" count="1" selected="0">
            <x v="57"/>
          </reference>
          <reference field="2" count="1" selected="0">
            <x v="1"/>
          </reference>
          <reference field="3" count="1">
            <x v="0"/>
          </reference>
          <reference field="8" count="1" selected="0">
            <x v="7"/>
          </reference>
        </references>
      </pivotArea>
    </format>
    <format dxfId="127">
      <pivotArea dataOnly="0" labelOnly="1" outline="0" fieldPosition="0">
        <references count="4">
          <reference field="1" count="1" selected="0">
            <x v="58"/>
          </reference>
          <reference field="2" count="1" selected="0">
            <x v="2"/>
          </reference>
          <reference field="3" count="1">
            <x v="1"/>
          </reference>
          <reference field="8" count="1" selected="0">
            <x v="7"/>
          </reference>
        </references>
      </pivotArea>
    </format>
    <format dxfId="126">
      <pivotArea dataOnly="0" labelOnly="1" outline="0" fieldPosition="0">
        <references count="4">
          <reference field="1" count="1" selected="0">
            <x v="59"/>
          </reference>
          <reference field="2" count="1" selected="0">
            <x v="2"/>
          </reference>
          <reference field="3" count="1">
            <x v="0"/>
          </reference>
          <reference field="8" count="1" selected="0">
            <x v="7"/>
          </reference>
        </references>
      </pivotArea>
    </format>
    <format dxfId="125">
      <pivotArea dataOnly="0" labelOnly="1" outline="0" fieldPosition="0">
        <references count="4">
          <reference field="1" count="1" selected="0">
            <x v="60"/>
          </reference>
          <reference field="2" count="1" selected="0">
            <x v="0"/>
          </reference>
          <reference field="3" count="1">
            <x v="1"/>
          </reference>
          <reference field="8"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83E8F02-81CD-4E24-8C6E-A9B4CBA6926C}" name="PivotTable3" cacheId="16"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location ref="J13:K16" firstHeaderRow="1" firstDataRow="1" firstDataCol="1"/>
  <pivotFields count="2">
    <pivotField axis="axisRow" showAll="0">
      <items count="4">
        <item x="0"/>
        <item x="1"/>
        <item x="2"/>
        <item t="default"/>
      </items>
    </pivotField>
    <pivotField name="Provider Rate2" dataField="1" showAll="0"/>
  </pivotFields>
  <rowFields count="1">
    <field x="0"/>
  </rowFields>
  <rowItems count="3">
    <i>
      <x/>
    </i>
    <i>
      <x v="1"/>
    </i>
    <i>
      <x v="2"/>
    </i>
  </rowItems>
  <colItems count="1">
    <i/>
  </colItems>
  <dataFields count="1">
    <dataField name="Sum of Provider Rate2" fld="1" baseField="0" baseItem="0"/>
  </dataFields>
  <formats count="1">
    <format dxfId="122">
      <pivotArea collapsedLevelsAreSubtotals="1" fieldPosition="0">
        <references count="1">
          <reference field="0"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8BB7344-C951-4B67-A9E6-1B93B47795FC}" name="PivotTable5"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Health level" colHeaderCaption="Supervision Level">
  <location ref="A13:F19" firstHeaderRow="1" firstDataRow="2" firstDataCol="1" rowPageCount="2" colPageCount="1"/>
  <pivotFields count="9">
    <pivotField numFmtId="14" showAll="0"/>
    <pivotField showAll="0"/>
    <pivotField showAll="0"/>
    <pivotField axis="axisCol" showAll="0">
      <items count="6">
        <item x="0"/>
        <item x="1"/>
        <item x="2"/>
        <item x="3"/>
        <item x="4"/>
        <item t="default"/>
      </items>
    </pivotField>
    <pivotField axis="axisRow" showAll="0">
      <items count="6">
        <item x="0"/>
        <item x="1"/>
        <item x="2"/>
        <item x="3"/>
        <item x="4"/>
        <item t="default"/>
      </items>
    </pivotField>
    <pivotField axis="axisPage" showAll="0">
      <items count="7">
        <item x="0"/>
        <item x="1"/>
        <item x="2"/>
        <item x="3"/>
        <item x="4"/>
        <item x="5"/>
        <item t="default"/>
      </items>
    </pivotField>
    <pivotField showAll="0"/>
    <pivotField dataField="1" showAll="0"/>
    <pivotField axis="axisPage" showAll="0">
      <items count="4">
        <item x="0"/>
        <item x="1"/>
        <item x="2"/>
        <item t="default"/>
      </items>
    </pivotField>
  </pivotFields>
  <rowFields count="1">
    <field x="4"/>
  </rowFields>
  <rowItems count="5">
    <i>
      <x/>
    </i>
    <i>
      <x v="1"/>
    </i>
    <i>
      <x v="2"/>
    </i>
    <i>
      <x v="3"/>
    </i>
    <i>
      <x v="4"/>
    </i>
  </rowItems>
  <colFields count="1">
    <field x="3"/>
  </colFields>
  <colItems count="5">
    <i>
      <x/>
    </i>
    <i>
      <x v="1"/>
    </i>
    <i>
      <x v="2"/>
    </i>
    <i>
      <x v="3"/>
    </i>
    <i>
      <x v="4"/>
    </i>
  </colItems>
  <pageFields count="2">
    <pageField fld="8" item="1" hier="-1"/>
    <pageField fld="5" item="0" hier="-1"/>
  </pageFields>
  <dataFields count="1">
    <dataField name="Sum of Rate$" fld="7" baseField="0" baseItem="0"/>
  </dataFields>
  <formats count="1">
    <format dxfId="12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B24F661-1637-490F-9487-740F095A1689}" name="PivotTable2" cacheId="17"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location ref="O13:R34" firstHeaderRow="0" firstDataRow="1" firstDataCol="1"/>
  <pivotFields count="6">
    <pivotField name="Type" showAll="0" defaultSubtotal="0">
      <items count="3">
        <item x="0"/>
        <item x="1"/>
        <item x="2"/>
      </items>
    </pivotField>
    <pivotField name="Service" axis="axisRow" showAll="0" defaultSubtotal="0">
      <items count="3">
        <item x="0"/>
        <item x="1"/>
        <item x="2"/>
      </items>
    </pivotField>
    <pivotField dataField="1" showAll="0" defaultSubtotal="0"/>
    <pivotField dataField="1" showAll="0" defaultSubtotal="0"/>
    <pivotField dataField="1" showAll="0" defaultSubtotal="0"/>
    <pivotField axis="axisRow" showAll="0" defaultSubtotal="0">
      <items count="6">
        <item x="0"/>
        <item x="1"/>
        <item x="2"/>
        <item x="3"/>
        <item x="4"/>
        <item x="5"/>
      </items>
    </pivotField>
  </pivotFields>
  <rowFields count="2">
    <field x="1"/>
    <field x="5"/>
  </rowFields>
  <rowItems count="21">
    <i>
      <x/>
    </i>
    <i r="1">
      <x/>
    </i>
    <i r="1">
      <x v="1"/>
    </i>
    <i r="1">
      <x v="2"/>
    </i>
    <i r="1">
      <x v="3"/>
    </i>
    <i r="1">
      <x v="4"/>
    </i>
    <i r="1">
      <x v="5"/>
    </i>
    <i>
      <x v="1"/>
    </i>
    <i r="1">
      <x/>
    </i>
    <i r="1">
      <x v="1"/>
    </i>
    <i r="1">
      <x v="2"/>
    </i>
    <i r="1">
      <x v="3"/>
    </i>
    <i r="1">
      <x v="4"/>
    </i>
    <i r="1">
      <x v="5"/>
    </i>
    <i>
      <x v="2"/>
    </i>
    <i r="1">
      <x/>
    </i>
    <i r="1">
      <x v="1"/>
    </i>
    <i r="1">
      <x v="2"/>
    </i>
    <i r="1">
      <x v="3"/>
    </i>
    <i r="1">
      <x v="4"/>
    </i>
    <i r="1">
      <x v="5"/>
    </i>
  </rowItems>
  <colFields count="1">
    <field x="-2"/>
  </colFields>
  <colItems count="3">
    <i>
      <x/>
    </i>
    <i i="1">
      <x v="1"/>
    </i>
    <i i="2">
      <x v="2"/>
    </i>
  </colItems>
  <dataFields count="3">
    <dataField name="Awake  Overnight" fld="2" baseField="5" baseItem="2"/>
    <dataField name="Direct Support$" fld="3" baseField="0" baseItem="0"/>
    <dataField name=" Professional  Support" fld="4" baseField="5" baseItem="2"/>
  </dataFields>
  <formats count="1">
    <format dxfId="124">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4CB28EB-68A6-4FFE-ADC1-0BE3AA34352D}" name="PivotTable10" cacheId="13"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gridDropZones="1" multipleFieldFilters="0">
  <location ref="A12:I164" firstHeaderRow="1" firstDataRow="3" firstDataCol="3"/>
  <pivotFields count="8">
    <pivotField axis="axisCol" compact="0" numFmtId="14" outline="0" showAll="0">
      <items count="4">
        <item m="1" x="2"/>
        <item x="0"/>
        <item x="1"/>
        <item t="default"/>
      </items>
    </pivotField>
    <pivotField compact="0" outline="0" showAll="0" defaultSubtotal="0"/>
    <pivotField axis="axisCol" compact="0" outline="0" showAll="0" defaultSubtotal="0">
      <items count="3">
        <item x="0"/>
        <item x="1"/>
        <item x="2"/>
      </items>
    </pivotField>
    <pivotField axis="axisRow" compact="0" outline="0" showAll="0" defaultSubtotal="0">
      <items count="5">
        <item x="0"/>
        <item x="1"/>
        <item x="2"/>
        <item x="3"/>
        <item x="4"/>
      </items>
    </pivotField>
    <pivotField axis="axisRow" compact="0" outline="0" showAll="0">
      <items count="6">
        <item x="0"/>
        <item x="1"/>
        <item x="2"/>
        <item x="3"/>
        <item x="4"/>
        <item t="default"/>
      </items>
    </pivotField>
    <pivotField axis="axisRow" compact="0" outline="0" showAll="0" defaultSubtotal="0">
      <items count="6">
        <item x="0"/>
        <item x="1"/>
        <item x="2"/>
        <item x="3"/>
        <item x="4"/>
        <item x="5"/>
      </items>
    </pivotField>
    <pivotField compact="0" outline="0" showAll="0"/>
    <pivotField dataField="1" compact="0" outline="0" showAll="0"/>
  </pivotFields>
  <rowFields count="3">
    <field x="5"/>
    <field x="3"/>
    <field x="4"/>
  </rowFields>
  <rowItems count="150">
    <i>
      <x/>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i>
      <x v="1"/>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i>
      <x v="2"/>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i>
      <x v="3"/>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i>
      <x v="4"/>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i>
      <x v="5"/>
      <x/>
      <x/>
    </i>
    <i r="2">
      <x v="1"/>
    </i>
    <i r="2">
      <x v="2"/>
    </i>
    <i r="2">
      <x v="3"/>
    </i>
    <i r="2">
      <x v="4"/>
    </i>
    <i r="1">
      <x v="1"/>
      <x/>
    </i>
    <i r="2">
      <x v="1"/>
    </i>
    <i r="2">
      <x v="2"/>
    </i>
    <i r="2">
      <x v="3"/>
    </i>
    <i r="2">
      <x v="4"/>
    </i>
    <i r="1">
      <x v="2"/>
      <x/>
    </i>
    <i r="2">
      <x v="1"/>
    </i>
    <i r="2">
      <x v="2"/>
    </i>
    <i r="2">
      <x v="3"/>
    </i>
    <i r="2">
      <x v="4"/>
    </i>
    <i r="1">
      <x v="3"/>
      <x/>
    </i>
    <i r="2">
      <x v="1"/>
    </i>
    <i r="2">
      <x v="2"/>
    </i>
    <i r="2">
      <x v="3"/>
    </i>
    <i r="2">
      <x v="4"/>
    </i>
    <i r="1">
      <x v="4"/>
      <x/>
    </i>
    <i r="2">
      <x v="1"/>
    </i>
    <i r="2">
      <x v="2"/>
    </i>
    <i r="2">
      <x v="3"/>
    </i>
    <i r="2">
      <x v="4"/>
    </i>
  </rowItems>
  <colFields count="2">
    <field x="2"/>
    <field x="0"/>
  </colFields>
  <colItems count="6">
    <i>
      <x/>
      <x v="1"/>
    </i>
    <i r="1">
      <x v="2"/>
    </i>
    <i>
      <x v="1"/>
      <x v="1"/>
    </i>
    <i r="1">
      <x v="2"/>
    </i>
    <i>
      <x v="2"/>
      <x v="1"/>
    </i>
    <i r="1">
      <x v="2"/>
    </i>
  </colItems>
  <dataFields count="1">
    <dataField name="Sum of AMT" fld="7" baseField="0" baseItem="0"/>
  </dataFields>
  <formats count="2">
    <format dxfId="121">
      <pivotArea dataOnly="0" labelOnly="1" outline="0" offset="A256" fieldPosition="0">
        <references count="1">
          <reference field="2" count="1">
            <x v="2"/>
          </reference>
        </references>
      </pivotArea>
    </format>
    <format dxfId="120">
      <pivotArea dataOnly="0" labelOnly="1" outline="0" offset="A256" fieldPosition="0">
        <references count="1">
          <reference field="2"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300037B4-5131-4CCE-8DF2-FC22AD7DE7A8}" name="PivotTable7" cacheId="14" applyNumberFormats="0" applyBorderFormats="0" applyFontFormats="0" applyPatternFormats="0" applyAlignmentFormats="0" applyWidthHeightFormats="1" dataCaption="Values" updatedVersion="8" minRefreshableVersion="3" useAutoFormatting="1" rowGrandTotals="0" colGrandTotals="0" itemPrintTitles="1" createdVersion="7" indent="0" compact="0" compactData="0" gridDropZones="1" multipleFieldFilters="0">
  <location ref="A11:F72" firstHeaderRow="1" firstDataRow="2" firstDataCol="4"/>
  <pivotFields count="10">
    <pivotField compact="0" outline="0" showAll="0"/>
    <pivotField axis="axisRow" compact="0" outline="0" showAll="0" defaultSubtotal="0">
      <items count="60">
        <item x="59"/>
        <item x="58"/>
        <item x="33"/>
        <item x="35"/>
        <item x="34"/>
        <item x="37"/>
        <item x="36"/>
        <item x="0"/>
        <item x="2"/>
        <item x="1"/>
        <item x="4"/>
        <item x="3"/>
        <item x="5"/>
        <item x="6"/>
        <item x="11"/>
        <item x="13"/>
        <item x="12"/>
        <item x="15"/>
        <item x="14"/>
        <item x="16"/>
        <item x="18"/>
        <item x="17"/>
        <item x="20"/>
        <item x="19"/>
        <item x="10"/>
        <item x="9"/>
        <item x="8"/>
        <item x="7"/>
        <item x="23"/>
        <item x="25"/>
        <item x="24"/>
        <item x="27"/>
        <item x="26"/>
        <item x="28"/>
        <item x="30"/>
        <item x="29"/>
        <item x="32"/>
        <item x="31"/>
        <item x="42"/>
        <item x="43"/>
        <item x="39"/>
        <item x="44"/>
        <item x="45"/>
        <item x="41"/>
        <item x="40"/>
        <item x="46"/>
        <item x="48"/>
        <item x="47"/>
        <item x="50"/>
        <item x="49"/>
        <item x="52"/>
        <item x="54"/>
        <item x="53"/>
        <item x="56"/>
        <item x="55"/>
        <item x="38"/>
        <item x="21"/>
        <item x="22"/>
        <item x="51"/>
        <item x="57"/>
      </items>
    </pivotField>
    <pivotField axis="axisRow" compact="0" outline="0" showAll="0" defaultSubtotal="0">
      <items count="3">
        <item x="0"/>
        <item x="1"/>
        <item x="2"/>
      </items>
    </pivotField>
    <pivotField axis="axisRow" compact="0" outline="0" showAll="0">
      <items count="3">
        <item x="1"/>
        <item x="0"/>
        <item t="default"/>
      </items>
    </pivotField>
    <pivotField compact="0" outline="0" showAll="0"/>
    <pivotField axis="axisCol" compact="0" numFmtId="14" outline="0" showAll="0">
      <items count="3">
        <item x="0"/>
        <item x="1"/>
        <item t="default"/>
      </items>
    </pivotField>
    <pivotField compact="0" numFmtId="14" outline="0" showAll="0"/>
    <pivotField dataField="1" compact="0" outline="0" showAll="0"/>
    <pivotField axis="axisRow" compact="0" outline="0" showAll="0" defaultSubtotal="0">
      <items count="10">
        <item x="0"/>
        <item x="4"/>
        <item x="3"/>
        <item x="5"/>
        <item x="6"/>
        <item x="7"/>
        <item x="9"/>
        <item x="8"/>
        <item x="1"/>
        <item x="2"/>
      </items>
    </pivotField>
    <pivotField compact="0" outline="0" showAll="0"/>
  </pivotFields>
  <rowFields count="4">
    <field x="1"/>
    <field x="8"/>
    <field x="2"/>
    <field x="3"/>
  </rowFields>
  <rowItems count="60">
    <i>
      <x/>
      <x v="6"/>
      <x/>
      <x v="1"/>
    </i>
    <i>
      <x v="1"/>
      <x v="6"/>
      <x/>
      <x v="1"/>
    </i>
    <i>
      <x v="2"/>
      <x v="3"/>
      <x/>
      <x v="1"/>
    </i>
    <i>
      <x v="3"/>
      <x v="3"/>
      <x v="1"/>
      <x v="1"/>
    </i>
    <i>
      <x v="4"/>
      <x v="3"/>
      <x v="1"/>
      <x/>
    </i>
    <i>
      <x v="5"/>
      <x v="3"/>
      <x v="2"/>
      <x v="1"/>
    </i>
    <i>
      <x v="6"/>
      <x v="3"/>
      <x v="2"/>
      <x/>
    </i>
    <i>
      <x v="7"/>
      <x/>
      <x/>
      <x v="1"/>
    </i>
    <i>
      <x v="8"/>
      <x/>
      <x v="1"/>
      <x v="1"/>
    </i>
    <i>
      <x v="9"/>
      <x/>
      <x v="1"/>
      <x/>
    </i>
    <i>
      <x v="10"/>
      <x/>
      <x v="2"/>
      <x v="1"/>
    </i>
    <i>
      <x v="11"/>
      <x/>
      <x v="2"/>
      <x/>
    </i>
    <i>
      <x v="12"/>
      <x/>
      <x/>
      <x/>
    </i>
    <i>
      <x v="13"/>
      <x/>
      <x/>
      <x v="1"/>
    </i>
    <i>
      <x v="14"/>
      <x/>
      <x/>
      <x v="1"/>
    </i>
    <i>
      <x v="15"/>
      <x/>
      <x v="1"/>
      <x v="1"/>
    </i>
    <i>
      <x v="16"/>
      <x/>
      <x v="1"/>
      <x/>
    </i>
    <i>
      <x v="17"/>
      <x/>
      <x v="2"/>
      <x v="1"/>
    </i>
    <i>
      <x v="18"/>
      <x/>
      <x v="2"/>
      <x/>
    </i>
    <i>
      <x v="19"/>
      <x/>
      <x/>
      <x v="1"/>
    </i>
    <i>
      <x v="20"/>
      <x/>
      <x v="1"/>
      <x v="1"/>
    </i>
    <i>
      <x v="21"/>
      <x/>
      <x v="1"/>
      <x/>
    </i>
    <i>
      <x v="22"/>
      <x/>
      <x v="2"/>
      <x v="1"/>
    </i>
    <i>
      <x v="23"/>
      <x/>
      <x v="2"/>
      <x/>
    </i>
    <i>
      <x v="24"/>
      <x/>
      <x v="2"/>
      <x v="1"/>
    </i>
    <i>
      <x v="25"/>
      <x/>
      <x v="2"/>
      <x/>
    </i>
    <i>
      <x v="26"/>
      <x/>
      <x v="1"/>
      <x v="1"/>
    </i>
    <i>
      <x v="27"/>
      <x/>
      <x v="1"/>
      <x/>
    </i>
    <i>
      <x v="28"/>
      <x v="2"/>
      <x/>
      <x v="1"/>
    </i>
    <i>
      <x v="29"/>
      <x v="2"/>
      <x v="1"/>
      <x v="1"/>
    </i>
    <i>
      <x v="30"/>
      <x v="2"/>
      <x v="1"/>
      <x/>
    </i>
    <i>
      <x v="31"/>
      <x v="2"/>
      <x v="2"/>
      <x v="1"/>
    </i>
    <i>
      <x v="32"/>
      <x v="2"/>
      <x v="2"/>
      <x/>
    </i>
    <i>
      <x v="33"/>
      <x v="1"/>
      <x/>
      <x v="1"/>
    </i>
    <i>
      <x v="34"/>
      <x v="1"/>
      <x v="1"/>
      <x v="1"/>
    </i>
    <i>
      <x v="35"/>
      <x v="1"/>
      <x v="1"/>
      <x/>
    </i>
    <i>
      <x v="36"/>
      <x v="1"/>
      <x v="2"/>
      <x v="1"/>
    </i>
    <i>
      <x v="37"/>
      <x v="1"/>
      <x v="2"/>
      <x/>
    </i>
    <i>
      <x v="38"/>
      <x v="4"/>
      <x v="2"/>
      <x/>
    </i>
    <i>
      <x v="39"/>
      <x v="4"/>
      <x v="2"/>
      <x v="1"/>
    </i>
    <i>
      <x v="40"/>
      <x v="4"/>
      <x/>
      <x v="1"/>
    </i>
    <i>
      <x v="41"/>
      <x v="5"/>
      <x v="1"/>
      <x/>
    </i>
    <i>
      <x v="42"/>
      <x v="5"/>
      <x v="2"/>
      <x/>
    </i>
    <i>
      <x v="43"/>
      <x v="4"/>
      <x v="1"/>
      <x v="1"/>
    </i>
    <i>
      <x v="44"/>
      <x v="4"/>
      <x v="1"/>
      <x/>
    </i>
    <i>
      <x v="45"/>
      <x v="7"/>
      <x/>
      <x v="1"/>
    </i>
    <i>
      <x v="46"/>
      <x v="7"/>
      <x v="1"/>
      <x v="1"/>
    </i>
    <i>
      <x v="47"/>
      <x v="7"/>
      <x v="1"/>
      <x/>
    </i>
    <i>
      <x v="48"/>
      <x v="7"/>
      <x v="2"/>
      <x v="1"/>
    </i>
    <i>
      <x v="49"/>
      <x v="7"/>
      <x v="2"/>
      <x/>
    </i>
    <i>
      <x v="50"/>
      <x v="7"/>
      <x/>
      <x v="1"/>
    </i>
    <i>
      <x v="51"/>
      <x v="7"/>
      <x v="1"/>
      <x v="1"/>
    </i>
    <i>
      <x v="52"/>
      <x v="7"/>
      <x v="1"/>
      <x/>
    </i>
    <i>
      <x v="53"/>
      <x v="7"/>
      <x v="2"/>
      <x v="1"/>
    </i>
    <i>
      <x v="54"/>
      <x v="7"/>
      <x v="2"/>
      <x/>
    </i>
    <i>
      <x v="55"/>
      <x v="2"/>
      <x/>
      <x v="1"/>
    </i>
    <i>
      <x v="56"/>
      <x v="8"/>
      <x v="1"/>
      <x/>
    </i>
    <i>
      <x v="57"/>
      <x v="9"/>
      <x v="1"/>
      <x/>
    </i>
    <i>
      <x v="58"/>
      <x v="7"/>
      <x/>
      <x/>
    </i>
    <i>
      <x v="59"/>
      <x v="9"/>
      <x v="1"/>
      <x/>
    </i>
  </rowItems>
  <colFields count="1">
    <field x="5"/>
  </colFields>
  <colItems count="2">
    <i>
      <x/>
    </i>
    <i>
      <x v="1"/>
    </i>
  </colItems>
  <dataFields count="1">
    <dataField name="Sum of MAX_RATE" fld="7" baseField="0" baseItem="0"/>
  </dataFields>
  <formats count="120">
    <format dxfId="119">
      <pivotArea outline="0" fieldPosition="0">
        <references count="5">
          <reference field="1" count="1" selected="0">
            <x v="8"/>
          </reference>
          <reference field="2" count="1" selected="0">
            <x v="1"/>
          </reference>
          <reference field="3" count="1" selected="0">
            <x v="1"/>
          </reference>
          <reference field="5" count="1" selected="0">
            <x v="0"/>
          </reference>
          <reference field="8" count="1" selected="0">
            <x v="0"/>
          </reference>
        </references>
      </pivotArea>
    </format>
    <format dxfId="118">
      <pivotArea outline="0" fieldPosition="0">
        <references count="5">
          <reference field="1" count="1" selected="0">
            <x v="26"/>
          </reference>
          <reference field="2" count="1" selected="0">
            <x v="1"/>
          </reference>
          <reference field="3" count="1" selected="0">
            <x v="1"/>
          </reference>
          <reference field="5" count="1" selected="0">
            <x v="0"/>
          </reference>
          <reference field="8" count="1" selected="0">
            <x v="0"/>
          </reference>
        </references>
      </pivotArea>
    </format>
    <format dxfId="117">
      <pivotArea outline="0" fieldPosition="0">
        <references count="5">
          <reference field="1" count="1" selected="0">
            <x v="15"/>
          </reference>
          <reference field="2" count="1" selected="0">
            <x v="1"/>
          </reference>
          <reference field="3" count="1" selected="0">
            <x v="1"/>
          </reference>
          <reference field="5" count="1" selected="0">
            <x v="0"/>
          </reference>
          <reference field="8" count="1" selected="0">
            <x v="0"/>
          </reference>
        </references>
      </pivotArea>
    </format>
    <format dxfId="116">
      <pivotArea outline="0" fieldPosition="0">
        <references count="5">
          <reference field="1" count="1" selected="0">
            <x v="20"/>
          </reference>
          <reference field="2" count="1" selected="0">
            <x v="1"/>
          </reference>
          <reference field="3" count="1" selected="0">
            <x v="1"/>
          </reference>
          <reference field="5" count="1" selected="0">
            <x v="0"/>
          </reference>
          <reference field="8" count="1" selected="0">
            <x v="0"/>
          </reference>
        </references>
      </pivotArea>
    </format>
    <format dxfId="115">
      <pivotArea outline="0" fieldPosition="0">
        <references count="5">
          <reference field="1" count="1" selected="0">
            <x v="29"/>
          </reference>
          <reference field="2" count="1" selected="0">
            <x v="1"/>
          </reference>
          <reference field="3" count="1" selected="0">
            <x v="1"/>
          </reference>
          <reference field="5" count="1" selected="0">
            <x v="0"/>
          </reference>
          <reference field="8" count="1" selected="0">
            <x v="2"/>
          </reference>
        </references>
      </pivotArea>
    </format>
    <format dxfId="114">
      <pivotArea outline="0" fieldPosition="0">
        <references count="5">
          <reference field="1" count="1" selected="0">
            <x v="34"/>
          </reference>
          <reference field="2" count="1" selected="0">
            <x v="1"/>
          </reference>
          <reference field="3" count="1" selected="0">
            <x v="1"/>
          </reference>
          <reference field="5" count="1" selected="0">
            <x v="0"/>
          </reference>
          <reference field="8" count="1" selected="0">
            <x v="1"/>
          </reference>
        </references>
      </pivotArea>
    </format>
    <format dxfId="113">
      <pivotArea outline="0" fieldPosition="0">
        <references count="5">
          <reference field="1" count="1" selected="0">
            <x v="3"/>
          </reference>
          <reference field="2" count="1" selected="0">
            <x v="1"/>
          </reference>
          <reference field="3" count="1" selected="0">
            <x v="1"/>
          </reference>
          <reference field="5" count="1" selected="0">
            <x v="0"/>
          </reference>
          <reference field="8" count="1" selected="0">
            <x v="3"/>
          </reference>
        </references>
      </pivotArea>
    </format>
    <format dxfId="112">
      <pivotArea outline="0" fieldPosition="0">
        <references count="5">
          <reference field="1" count="1" selected="0">
            <x v="43"/>
          </reference>
          <reference field="2" count="1" selected="0">
            <x v="1"/>
          </reference>
          <reference field="3" count="1" selected="0">
            <x v="1"/>
          </reference>
          <reference field="5" count="1" selected="0">
            <x v="0"/>
          </reference>
          <reference field="8" count="1" selected="0">
            <x v="4"/>
          </reference>
        </references>
      </pivotArea>
    </format>
    <format dxfId="111">
      <pivotArea outline="0" fieldPosition="0">
        <references count="5">
          <reference field="1" count="1" selected="0">
            <x v="46"/>
          </reference>
          <reference field="2" count="1" selected="0">
            <x v="1"/>
          </reference>
          <reference field="3" count="1" selected="0">
            <x v="1"/>
          </reference>
          <reference field="5" count="1" selected="0">
            <x v="0"/>
          </reference>
          <reference field="8" count="1" selected="0">
            <x v="7"/>
          </reference>
        </references>
      </pivotArea>
    </format>
    <format dxfId="110">
      <pivotArea outline="0" fieldPosition="0">
        <references count="5">
          <reference field="1" count="1" selected="0">
            <x v="51"/>
          </reference>
          <reference field="2" count="1" selected="0">
            <x v="1"/>
          </reference>
          <reference field="3" count="1" selected="0">
            <x v="1"/>
          </reference>
          <reference field="5" count="1" selected="0">
            <x v="0"/>
          </reference>
          <reference field="8" count="1" selected="0">
            <x v="7"/>
          </reference>
        </references>
      </pivotArea>
    </format>
    <format dxfId="109">
      <pivotArea outline="0" fieldPosition="0">
        <references count="5">
          <reference field="1" count="1" selected="0">
            <x v="10"/>
          </reference>
          <reference field="2" count="1" selected="0">
            <x v="2"/>
          </reference>
          <reference field="3" count="1" selected="0">
            <x v="1"/>
          </reference>
          <reference field="5" count="1" selected="0">
            <x v="0"/>
          </reference>
          <reference field="8" count="1" selected="0">
            <x v="0"/>
          </reference>
        </references>
      </pivotArea>
    </format>
    <format dxfId="108">
      <pivotArea outline="0" fieldPosition="0">
        <references count="5">
          <reference field="1" count="1" selected="0">
            <x v="24"/>
          </reference>
          <reference field="2" count="1" selected="0">
            <x v="2"/>
          </reference>
          <reference field="3" count="1" selected="0">
            <x v="1"/>
          </reference>
          <reference field="5" count="1" selected="0">
            <x v="0"/>
          </reference>
          <reference field="8" count="1" selected="0">
            <x v="0"/>
          </reference>
        </references>
      </pivotArea>
    </format>
    <format dxfId="107">
      <pivotArea outline="0" fieldPosition="0">
        <references count="5">
          <reference field="1" count="1" selected="0">
            <x v="17"/>
          </reference>
          <reference field="2" count="1" selected="0">
            <x v="2"/>
          </reference>
          <reference field="3" count="1" selected="0">
            <x v="1"/>
          </reference>
          <reference field="5" count="1" selected="0">
            <x v="0"/>
          </reference>
          <reference field="8" count="1" selected="0">
            <x v="0"/>
          </reference>
        </references>
      </pivotArea>
    </format>
    <format dxfId="106">
      <pivotArea outline="0" fieldPosition="0">
        <references count="5">
          <reference field="1" count="1" selected="0">
            <x v="22"/>
          </reference>
          <reference field="2" count="1" selected="0">
            <x v="2"/>
          </reference>
          <reference field="3" count="1" selected="0">
            <x v="1"/>
          </reference>
          <reference field="5" count="1" selected="0">
            <x v="0"/>
          </reference>
          <reference field="8" count="1" selected="0">
            <x v="0"/>
          </reference>
        </references>
      </pivotArea>
    </format>
    <format dxfId="105">
      <pivotArea outline="0" fieldPosition="0">
        <references count="5">
          <reference field="1" count="1" selected="0">
            <x v="31"/>
          </reference>
          <reference field="2" count="1" selected="0">
            <x v="2"/>
          </reference>
          <reference field="3" count="1" selected="0">
            <x v="1"/>
          </reference>
          <reference field="5" count="1" selected="0">
            <x v="0"/>
          </reference>
          <reference field="8" count="1" selected="0">
            <x v="2"/>
          </reference>
        </references>
      </pivotArea>
    </format>
    <format dxfId="104">
      <pivotArea outline="0" fieldPosition="0">
        <references count="5">
          <reference field="1" count="1" selected="0">
            <x v="36"/>
          </reference>
          <reference field="2" count="1" selected="0">
            <x v="2"/>
          </reference>
          <reference field="3" count="1" selected="0">
            <x v="1"/>
          </reference>
          <reference field="5" count="1" selected="0">
            <x v="0"/>
          </reference>
          <reference field="8" count="1" selected="0">
            <x v="1"/>
          </reference>
        </references>
      </pivotArea>
    </format>
    <format dxfId="103">
      <pivotArea outline="0" fieldPosition="0">
        <references count="5">
          <reference field="1" count="1" selected="0">
            <x v="5"/>
          </reference>
          <reference field="2" count="1" selected="0">
            <x v="2"/>
          </reference>
          <reference field="3" count="1" selected="0">
            <x v="1"/>
          </reference>
          <reference field="5" count="1" selected="0">
            <x v="0"/>
          </reference>
          <reference field="8" count="1" selected="0">
            <x v="3"/>
          </reference>
        </references>
      </pivotArea>
    </format>
    <format dxfId="102">
      <pivotArea outline="0" fieldPosition="0">
        <references count="5">
          <reference field="1" count="1" selected="0">
            <x v="39"/>
          </reference>
          <reference field="2" count="1" selected="0">
            <x v="2"/>
          </reference>
          <reference field="3" count="1" selected="0">
            <x v="1"/>
          </reference>
          <reference field="5" count="1" selected="0">
            <x v="0"/>
          </reference>
          <reference field="8" count="1" selected="0">
            <x v="4"/>
          </reference>
        </references>
      </pivotArea>
    </format>
    <format dxfId="101">
      <pivotArea outline="0" fieldPosition="0">
        <references count="5">
          <reference field="1" count="1" selected="0">
            <x v="48"/>
          </reference>
          <reference field="2" count="1" selected="0">
            <x v="2"/>
          </reference>
          <reference field="3" count="1" selected="0">
            <x v="1"/>
          </reference>
          <reference field="5" count="1" selected="0">
            <x v="0"/>
          </reference>
          <reference field="8" count="1" selected="0">
            <x v="7"/>
          </reference>
        </references>
      </pivotArea>
    </format>
    <format dxfId="100">
      <pivotArea outline="0" fieldPosition="0">
        <references count="5">
          <reference field="1" count="1" selected="0">
            <x v="53"/>
          </reference>
          <reference field="2" count="1" selected="0">
            <x v="2"/>
          </reference>
          <reference field="3" count="1" selected="0">
            <x v="1"/>
          </reference>
          <reference field="5" count="1" selected="0">
            <x v="0"/>
          </reference>
          <reference field="8" count="1" selected="0">
            <x v="7"/>
          </reference>
        </references>
      </pivotArea>
    </format>
    <format dxfId="99">
      <pivotArea outline="0" fieldPosition="0">
        <references count="4">
          <reference field="1" count="30" selected="0">
            <x v="2"/>
            <x v="3"/>
            <x v="5"/>
            <x v="7"/>
            <x v="8"/>
            <x v="10"/>
            <x v="13"/>
            <x v="14"/>
            <x v="15"/>
            <x v="17"/>
            <x v="19"/>
            <x v="20"/>
            <x v="22"/>
            <x v="24"/>
            <x v="26"/>
            <x v="28"/>
            <x v="29"/>
            <x v="31"/>
            <x v="33"/>
            <x v="34"/>
            <x v="36"/>
            <x v="39"/>
            <x v="40"/>
            <x v="43"/>
            <x v="45"/>
            <x v="46"/>
            <x v="48"/>
            <x v="50"/>
            <x v="51"/>
            <x v="53"/>
          </reference>
          <reference field="2" count="0" selected="0"/>
          <reference field="3" count="0" selected="0"/>
          <reference field="8" count="6" selected="0">
            <x v="0"/>
            <x v="1"/>
            <x v="2"/>
            <x v="3"/>
            <x v="4"/>
            <x v="7"/>
          </reference>
        </references>
      </pivotArea>
    </format>
    <format dxfId="98">
      <pivotArea outline="0" collapsedLevelsAreSubtotals="1" fieldPosition="0"/>
    </format>
    <format dxfId="97">
      <pivotArea dataOnly="0" labelOnly="1" outline="0" fieldPosition="0">
        <references count="1">
          <reference field="1" count="45">
            <x v="0"/>
            <x v="1"/>
            <x v="2"/>
            <x v="3"/>
            <x v="4"/>
            <x v="5"/>
            <x v="6"/>
            <x v="7"/>
            <x v="8"/>
            <x v="9"/>
            <x v="10"/>
            <x v="11"/>
            <x v="12"/>
            <x v="13"/>
            <x v="14"/>
            <x v="15"/>
            <x v="16"/>
            <x v="17"/>
            <x v="18"/>
            <x v="19"/>
            <x v="20"/>
            <x v="21"/>
            <x v="22"/>
            <x v="23"/>
            <x v="24"/>
            <x v="25"/>
            <x v="26"/>
            <x v="27"/>
            <x v="28"/>
            <x v="29"/>
            <x v="30"/>
            <x v="31"/>
            <x v="32"/>
            <x v="33"/>
            <x v="34"/>
            <x v="35"/>
            <x v="36"/>
            <x v="37"/>
            <x v="38"/>
            <x v="39"/>
            <x v="40"/>
            <x v="41"/>
            <x v="42"/>
            <x v="43"/>
            <x v="44"/>
          </reference>
        </references>
      </pivotArea>
    </format>
    <format dxfId="96">
      <pivotArea dataOnly="0" labelOnly="1" outline="0" fieldPosition="0">
        <references count="1">
          <reference field="1" count="11">
            <x v="45"/>
            <x v="46"/>
            <x v="47"/>
            <x v="48"/>
            <x v="49"/>
            <x v="50"/>
            <x v="51"/>
            <x v="52"/>
            <x v="53"/>
            <x v="54"/>
            <x v="55"/>
          </reference>
        </references>
      </pivotArea>
    </format>
    <format dxfId="95">
      <pivotArea dataOnly="0" labelOnly="1" outline="0" fieldPosition="0">
        <references count="2">
          <reference field="1" count="1" selected="0">
            <x v="0"/>
          </reference>
          <reference field="8" count="1">
            <x v="6"/>
          </reference>
        </references>
      </pivotArea>
    </format>
    <format dxfId="94">
      <pivotArea dataOnly="0" labelOnly="1" outline="0" fieldPosition="0">
        <references count="2">
          <reference field="1" count="1" selected="0">
            <x v="2"/>
          </reference>
          <reference field="8" count="1">
            <x v="3"/>
          </reference>
        </references>
      </pivotArea>
    </format>
    <format dxfId="93">
      <pivotArea dataOnly="0" labelOnly="1" outline="0" fieldPosition="0">
        <references count="2">
          <reference field="1" count="1" selected="0">
            <x v="7"/>
          </reference>
          <reference field="8" count="1">
            <x v="0"/>
          </reference>
        </references>
      </pivotArea>
    </format>
    <format dxfId="92">
      <pivotArea dataOnly="0" labelOnly="1" outline="0" fieldPosition="0">
        <references count="2">
          <reference field="1" count="1" selected="0">
            <x v="28"/>
          </reference>
          <reference field="8" count="1">
            <x v="2"/>
          </reference>
        </references>
      </pivotArea>
    </format>
    <format dxfId="91">
      <pivotArea dataOnly="0" labelOnly="1" outline="0" fieldPosition="0">
        <references count="2">
          <reference field="1" count="1" selected="0">
            <x v="33"/>
          </reference>
          <reference field="8" count="1">
            <x v="1"/>
          </reference>
        </references>
      </pivotArea>
    </format>
    <format dxfId="90">
      <pivotArea dataOnly="0" labelOnly="1" outline="0" fieldPosition="0">
        <references count="2">
          <reference field="1" count="1" selected="0">
            <x v="38"/>
          </reference>
          <reference field="8" count="1">
            <x v="4"/>
          </reference>
        </references>
      </pivotArea>
    </format>
    <format dxfId="89">
      <pivotArea dataOnly="0" labelOnly="1" outline="0" fieldPosition="0">
        <references count="2">
          <reference field="1" count="1" selected="0">
            <x v="41"/>
          </reference>
          <reference field="8" count="1">
            <x v="5"/>
          </reference>
        </references>
      </pivotArea>
    </format>
    <format dxfId="88">
      <pivotArea dataOnly="0" labelOnly="1" outline="0" fieldPosition="0">
        <references count="2">
          <reference field="1" count="1" selected="0">
            <x v="43"/>
          </reference>
          <reference field="8" count="1">
            <x v="4"/>
          </reference>
        </references>
      </pivotArea>
    </format>
    <format dxfId="87">
      <pivotArea dataOnly="0" labelOnly="1" outline="0" fieldPosition="0">
        <references count="2">
          <reference field="1" count="1" selected="0">
            <x v="45"/>
          </reference>
          <reference field="8" count="1">
            <x v="7"/>
          </reference>
        </references>
      </pivotArea>
    </format>
    <format dxfId="86">
      <pivotArea dataOnly="0" labelOnly="1" outline="0" fieldPosition="0">
        <references count="2">
          <reference field="1" count="1" selected="0">
            <x v="55"/>
          </reference>
          <reference field="8" count="1">
            <x v="2"/>
          </reference>
        </references>
      </pivotArea>
    </format>
    <format dxfId="85">
      <pivotArea dataOnly="0" labelOnly="1" outline="0" fieldPosition="0">
        <references count="3">
          <reference field="1" count="1" selected="0">
            <x v="0"/>
          </reference>
          <reference field="2" count="1">
            <x v="0"/>
          </reference>
          <reference field="8" count="1" selected="0">
            <x v="6"/>
          </reference>
        </references>
      </pivotArea>
    </format>
    <format dxfId="84">
      <pivotArea dataOnly="0" labelOnly="1" outline="0" fieldPosition="0">
        <references count="3">
          <reference field="1" count="1" selected="0">
            <x v="3"/>
          </reference>
          <reference field="2" count="1">
            <x v="1"/>
          </reference>
          <reference field="8" count="1" selected="0">
            <x v="3"/>
          </reference>
        </references>
      </pivotArea>
    </format>
    <format dxfId="83">
      <pivotArea dataOnly="0" labelOnly="1" outline="0" fieldPosition="0">
        <references count="3">
          <reference field="1" count="1" selected="0">
            <x v="5"/>
          </reference>
          <reference field="2" count="1">
            <x v="2"/>
          </reference>
          <reference field="8" count="1" selected="0">
            <x v="3"/>
          </reference>
        </references>
      </pivotArea>
    </format>
    <format dxfId="82">
      <pivotArea dataOnly="0" labelOnly="1" outline="0" fieldPosition="0">
        <references count="3">
          <reference field="1" count="1" selected="0">
            <x v="7"/>
          </reference>
          <reference field="2" count="1">
            <x v="0"/>
          </reference>
          <reference field="8" count="1" selected="0">
            <x v="0"/>
          </reference>
        </references>
      </pivotArea>
    </format>
    <format dxfId="81">
      <pivotArea dataOnly="0" labelOnly="1" outline="0" fieldPosition="0">
        <references count="3">
          <reference field="1" count="1" selected="0">
            <x v="8"/>
          </reference>
          <reference field="2" count="1">
            <x v="1"/>
          </reference>
          <reference field="8" count="1" selected="0">
            <x v="0"/>
          </reference>
        </references>
      </pivotArea>
    </format>
    <format dxfId="80">
      <pivotArea dataOnly="0" labelOnly="1" outline="0" fieldPosition="0">
        <references count="3">
          <reference field="1" count="1" selected="0">
            <x v="10"/>
          </reference>
          <reference field="2" count="1">
            <x v="2"/>
          </reference>
          <reference field="8" count="1" selected="0">
            <x v="0"/>
          </reference>
        </references>
      </pivotArea>
    </format>
    <format dxfId="79">
      <pivotArea dataOnly="0" labelOnly="1" outline="0" fieldPosition="0">
        <references count="3">
          <reference field="1" count="1" selected="0">
            <x v="12"/>
          </reference>
          <reference field="2" count="1">
            <x v="0"/>
          </reference>
          <reference field="8" count="1" selected="0">
            <x v="0"/>
          </reference>
        </references>
      </pivotArea>
    </format>
    <format dxfId="78">
      <pivotArea dataOnly="0" labelOnly="1" outline="0" fieldPosition="0">
        <references count="3">
          <reference field="1" count="1" selected="0">
            <x v="15"/>
          </reference>
          <reference field="2" count="1">
            <x v="1"/>
          </reference>
          <reference field="8" count="1" selected="0">
            <x v="0"/>
          </reference>
        </references>
      </pivotArea>
    </format>
    <format dxfId="77">
      <pivotArea dataOnly="0" labelOnly="1" outline="0" fieldPosition="0">
        <references count="3">
          <reference field="1" count="1" selected="0">
            <x v="17"/>
          </reference>
          <reference field="2" count="1">
            <x v="2"/>
          </reference>
          <reference field="8" count="1" selected="0">
            <x v="0"/>
          </reference>
        </references>
      </pivotArea>
    </format>
    <format dxfId="76">
      <pivotArea dataOnly="0" labelOnly="1" outline="0" fieldPosition="0">
        <references count="3">
          <reference field="1" count="1" selected="0">
            <x v="19"/>
          </reference>
          <reference field="2" count="1">
            <x v="0"/>
          </reference>
          <reference field="8" count="1" selected="0">
            <x v="0"/>
          </reference>
        </references>
      </pivotArea>
    </format>
    <format dxfId="75">
      <pivotArea dataOnly="0" labelOnly="1" outline="0" fieldPosition="0">
        <references count="3">
          <reference field="1" count="1" selected="0">
            <x v="20"/>
          </reference>
          <reference field="2" count="1">
            <x v="1"/>
          </reference>
          <reference field="8" count="1" selected="0">
            <x v="0"/>
          </reference>
        </references>
      </pivotArea>
    </format>
    <format dxfId="74">
      <pivotArea dataOnly="0" labelOnly="1" outline="0" fieldPosition="0">
        <references count="3">
          <reference field="1" count="1" selected="0">
            <x v="22"/>
          </reference>
          <reference field="2" count="1">
            <x v="2"/>
          </reference>
          <reference field="8" count="1" selected="0">
            <x v="0"/>
          </reference>
        </references>
      </pivotArea>
    </format>
    <format dxfId="73">
      <pivotArea dataOnly="0" labelOnly="1" outline="0" fieldPosition="0">
        <references count="3">
          <reference field="1" count="1" selected="0">
            <x v="26"/>
          </reference>
          <reference field="2" count="1">
            <x v="1"/>
          </reference>
          <reference field="8" count="1" selected="0">
            <x v="0"/>
          </reference>
        </references>
      </pivotArea>
    </format>
    <format dxfId="72">
      <pivotArea dataOnly="0" labelOnly="1" outline="0" fieldPosition="0">
        <references count="3">
          <reference field="1" count="1" selected="0">
            <x v="28"/>
          </reference>
          <reference field="2" count="1">
            <x v="0"/>
          </reference>
          <reference field="8" count="1" selected="0">
            <x v="2"/>
          </reference>
        </references>
      </pivotArea>
    </format>
    <format dxfId="71">
      <pivotArea dataOnly="0" labelOnly="1" outline="0" fieldPosition="0">
        <references count="3">
          <reference field="1" count="1" selected="0">
            <x v="29"/>
          </reference>
          <reference field="2" count="1">
            <x v="1"/>
          </reference>
          <reference field="8" count="1" selected="0">
            <x v="2"/>
          </reference>
        </references>
      </pivotArea>
    </format>
    <format dxfId="70">
      <pivotArea dataOnly="0" labelOnly="1" outline="0" fieldPosition="0">
        <references count="3">
          <reference field="1" count="1" selected="0">
            <x v="31"/>
          </reference>
          <reference field="2" count="1">
            <x v="2"/>
          </reference>
          <reference field="8" count="1" selected="0">
            <x v="2"/>
          </reference>
        </references>
      </pivotArea>
    </format>
    <format dxfId="69">
      <pivotArea dataOnly="0" labelOnly="1" outline="0" fieldPosition="0">
        <references count="3">
          <reference field="1" count="1" selected="0">
            <x v="33"/>
          </reference>
          <reference field="2" count="1">
            <x v="0"/>
          </reference>
          <reference field="8" count="1" selected="0">
            <x v="1"/>
          </reference>
        </references>
      </pivotArea>
    </format>
    <format dxfId="68">
      <pivotArea dataOnly="0" labelOnly="1" outline="0" fieldPosition="0">
        <references count="3">
          <reference field="1" count="1" selected="0">
            <x v="34"/>
          </reference>
          <reference field="2" count="1">
            <x v="1"/>
          </reference>
          <reference field="8" count="1" selected="0">
            <x v="1"/>
          </reference>
        </references>
      </pivotArea>
    </format>
    <format dxfId="67">
      <pivotArea dataOnly="0" labelOnly="1" outline="0" fieldPosition="0">
        <references count="3">
          <reference field="1" count="1" selected="0">
            <x v="36"/>
          </reference>
          <reference field="2" count="1">
            <x v="2"/>
          </reference>
          <reference field="8" count="1" selected="0">
            <x v="1"/>
          </reference>
        </references>
      </pivotArea>
    </format>
    <format dxfId="66">
      <pivotArea dataOnly="0" labelOnly="1" outline="0" fieldPosition="0">
        <references count="3">
          <reference field="1" count="1" selected="0">
            <x v="40"/>
          </reference>
          <reference field="2" count="1">
            <x v="0"/>
          </reference>
          <reference field="8" count="1" selected="0">
            <x v="4"/>
          </reference>
        </references>
      </pivotArea>
    </format>
    <format dxfId="65">
      <pivotArea dataOnly="0" labelOnly="1" outline="0" fieldPosition="0">
        <references count="3">
          <reference field="1" count="1" selected="0">
            <x v="41"/>
          </reference>
          <reference field="2" count="1">
            <x v="1"/>
          </reference>
          <reference field="8" count="1" selected="0">
            <x v="5"/>
          </reference>
        </references>
      </pivotArea>
    </format>
    <format dxfId="64">
      <pivotArea dataOnly="0" labelOnly="1" outline="0" fieldPosition="0">
        <references count="3">
          <reference field="1" count="1" selected="0">
            <x v="42"/>
          </reference>
          <reference field="2" count="1">
            <x v="2"/>
          </reference>
          <reference field="8" count="1" selected="0">
            <x v="5"/>
          </reference>
        </references>
      </pivotArea>
    </format>
    <format dxfId="63">
      <pivotArea dataOnly="0" labelOnly="1" outline="0" fieldPosition="0">
        <references count="3">
          <reference field="1" count="1" selected="0">
            <x v="43"/>
          </reference>
          <reference field="2" count="1">
            <x v="1"/>
          </reference>
          <reference field="8" count="1" selected="0">
            <x v="4"/>
          </reference>
        </references>
      </pivotArea>
    </format>
    <format dxfId="62">
      <pivotArea dataOnly="0" labelOnly="1" outline="0" fieldPosition="0">
        <references count="3">
          <reference field="1" count="1" selected="0">
            <x v="45"/>
          </reference>
          <reference field="2" count="1">
            <x v="0"/>
          </reference>
          <reference field="8" count="1" selected="0">
            <x v="7"/>
          </reference>
        </references>
      </pivotArea>
    </format>
    <format dxfId="61">
      <pivotArea dataOnly="0" labelOnly="1" outline="0" fieldPosition="0">
        <references count="3">
          <reference field="1" count="1" selected="0">
            <x v="46"/>
          </reference>
          <reference field="2" count="1">
            <x v="1"/>
          </reference>
          <reference field="8" count="1" selected="0">
            <x v="7"/>
          </reference>
        </references>
      </pivotArea>
    </format>
    <format dxfId="60">
      <pivotArea dataOnly="0" labelOnly="1" outline="0" fieldPosition="0">
        <references count="3">
          <reference field="1" count="1" selected="0">
            <x v="48"/>
          </reference>
          <reference field="2" count="1">
            <x v="2"/>
          </reference>
          <reference field="8" count="1" selected="0">
            <x v="7"/>
          </reference>
        </references>
      </pivotArea>
    </format>
    <format dxfId="59">
      <pivotArea dataOnly="0" labelOnly="1" outline="0" fieldPosition="0">
        <references count="3">
          <reference field="1" count="1" selected="0">
            <x v="50"/>
          </reference>
          <reference field="2" count="1">
            <x v="0"/>
          </reference>
          <reference field="8" count="1" selected="0">
            <x v="7"/>
          </reference>
        </references>
      </pivotArea>
    </format>
    <format dxfId="58">
      <pivotArea dataOnly="0" labelOnly="1" outline="0" fieldPosition="0">
        <references count="3">
          <reference field="1" count="1" selected="0">
            <x v="51"/>
          </reference>
          <reference field="2" count="1">
            <x v="1"/>
          </reference>
          <reference field="8" count="1" selected="0">
            <x v="7"/>
          </reference>
        </references>
      </pivotArea>
    </format>
    <format dxfId="57">
      <pivotArea dataOnly="0" labelOnly="1" outline="0" fieldPosition="0">
        <references count="3">
          <reference field="1" count="1" selected="0">
            <x v="53"/>
          </reference>
          <reference field="2" count="1">
            <x v="2"/>
          </reference>
          <reference field="8" count="1" selected="0">
            <x v="7"/>
          </reference>
        </references>
      </pivotArea>
    </format>
    <format dxfId="56">
      <pivotArea dataOnly="0" labelOnly="1" outline="0" fieldPosition="0">
        <references count="3">
          <reference field="1" count="1" selected="0">
            <x v="55"/>
          </reference>
          <reference field="2" count="1">
            <x v="0"/>
          </reference>
          <reference field="8" count="1" selected="0">
            <x v="2"/>
          </reference>
        </references>
      </pivotArea>
    </format>
    <format dxfId="55">
      <pivotArea dataOnly="0" labelOnly="1" outline="0" fieldPosition="0">
        <references count="4">
          <reference field="1" count="1" selected="0">
            <x v="0"/>
          </reference>
          <reference field="2" count="1" selected="0">
            <x v="0"/>
          </reference>
          <reference field="3" count="1">
            <x v="1"/>
          </reference>
          <reference field="8" count="1" selected="0">
            <x v="6"/>
          </reference>
        </references>
      </pivotArea>
    </format>
    <format dxfId="54">
      <pivotArea dataOnly="0" labelOnly="1" outline="0" fieldPosition="0">
        <references count="4">
          <reference field="1" count="1" selected="0">
            <x v="1"/>
          </reference>
          <reference field="2" count="1" selected="0">
            <x v="0"/>
          </reference>
          <reference field="3" count="1">
            <x v="1"/>
          </reference>
          <reference field="8" count="1" selected="0">
            <x v="6"/>
          </reference>
        </references>
      </pivotArea>
    </format>
    <format dxfId="53">
      <pivotArea dataOnly="0" labelOnly="1" outline="0" fieldPosition="0">
        <references count="4">
          <reference field="1" count="1" selected="0">
            <x v="2"/>
          </reference>
          <reference field="2" count="1" selected="0">
            <x v="0"/>
          </reference>
          <reference field="3" count="1">
            <x v="1"/>
          </reference>
          <reference field="8" count="1" selected="0">
            <x v="3"/>
          </reference>
        </references>
      </pivotArea>
    </format>
    <format dxfId="52">
      <pivotArea dataOnly="0" labelOnly="1" outline="0" fieldPosition="0">
        <references count="4">
          <reference field="1" count="1" selected="0">
            <x v="3"/>
          </reference>
          <reference field="2" count="1" selected="0">
            <x v="1"/>
          </reference>
          <reference field="3" count="1">
            <x v="1"/>
          </reference>
          <reference field="8" count="1" selected="0">
            <x v="3"/>
          </reference>
        </references>
      </pivotArea>
    </format>
    <format dxfId="51">
      <pivotArea dataOnly="0" labelOnly="1" outline="0" fieldPosition="0">
        <references count="4">
          <reference field="1" count="1" selected="0">
            <x v="4"/>
          </reference>
          <reference field="2" count="1" selected="0">
            <x v="1"/>
          </reference>
          <reference field="3" count="1">
            <x v="0"/>
          </reference>
          <reference field="8" count="1" selected="0">
            <x v="3"/>
          </reference>
        </references>
      </pivotArea>
    </format>
    <format dxfId="50">
      <pivotArea dataOnly="0" labelOnly="1" outline="0" fieldPosition="0">
        <references count="4">
          <reference field="1" count="1" selected="0">
            <x v="5"/>
          </reference>
          <reference field="2" count="1" selected="0">
            <x v="2"/>
          </reference>
          <reference field="3" count="1">
            <x v="1"/>
          </reference>
          <reference field="8" count="1" selected="0">
            <x v="3"/>
          </reference>
        </references>
      </pivotArea>
    </format>
    <format dxfId="49">
      <pivotArea dataOnly="0" labelOnly="1" outline="0" fieldPosition="0">
        <references count="4">
          <reference field="1" count="1" selected="0">
            <x v="6"/>
          </reference>
          <reference field="2" count="1" selected="0">
            <x v="2"/>
          </reference>
          <reference field="3" count="1">
            <x v="0"/>
          </reference>
          <reference field="8" count="1" selected="0">
            <x v="3"/>
          </reference>
        </references>
      </pivotArea>
    </format>
    <format dxfId="48">
      <pivotArea dataOnly="0" labelOnly="1" outline="0" fieldPosition="0">
        <references count="4">
          <reference field="1" count="1" selected="0">
            <x v="7"/>
          </reference>
          <reference field="2" count="1" selected="0">
            <x v="0"/>
          </reference>
          <reference field="3" count="1">
            <x v="1"/>
          </reference>
          <reference field="8" count="1" selected="0">
            <x v="0"/>
          </reference>
        </references>
      </pivotArea>
    </format>
    <format dxfId="47">
      <pivotArea dataOnly="0" labelOnly="1" outline="0" fieldPosition="0">
        <references count="4">
          <reference field="1" count="1" selected="0">
            <x v="8"/>
          </reference>
          <reference field="2" count="1" selected="0">
            <x v="1"/>
          </reference>
          <reference field="3" count="1">
            <x v="1"/>
          </reference>
          <reference field="8" count="1" selected="0">
            <x v="0"/>
          </reference>
        </references>
      </pivotArea>
    </format>
    <format dxfId="46">
      <pivotArea dataOnly="0" labelOnly="1" outline="0" fieldPosition="0">
        <references count="4">
          <reference field="1" count="1" selected="0">
            <x v="9"/>
          </reference>
          <reference field="2" count="1" selected="0">
            <x v="1"/>
          </reference>
          <reference field="3" count="1">
            <x v="0"/>
          </reference>
          <reference field="8" count="1" selected="0">
            <x v="0"/>
          </reference>
        </references>
      </pivotArea>
    </format>
    <format dxfId="45">
      <pivotArea dataOnly="0" labelOnly="1" outline="0" fieldPosition="0">
        <references count="4">
          <reference field="1" count="1" selected="0">
            <x v="10"/>
          </reference>
          <reference field="2" count="1" selected="0">
            <x v="2"/>
          </reference>
          <reference field="3" count="1">
            <x v="1"/>
          </reference>
          <reference field="8" count="1" selected="0">
            <x v="0"/>
          </reference>
        </references>
      </pivotArea>
    </format>
    <format dxfId="44">
      <pivotArea dataOnly="0" labelOnly="1" outline="0" fieldPosition="0">
        <references count="4">
          <reference field="1" count="1" selected="0">
            <x v="11"/>
          </reference>
          <reference field="2" count="1" selected="0">
            <x v="2"/>
          </reference>
          <reference field="3" count="1">
            <x v="0"/>
          </reference>
          <reference field="8" count="1" selected="0">
            <x v="0"/>
          </reference>
        </references>
      </pivotArea>
    </format>
    <format dxfId="43">
      <pivotArea dataOnly="0" labelOnly="1" outline="0" fieldPosition="0">
        <references count="4">
          <reference field="1" count="1" selected="0">
            <x v="12"/>
          </reference>
          <reference field="2" count="1" selected="0">
            <x v="0"/>
          </reference>
          <reference field="3" count="1">
            <x v="0"/>
          </reference>
          <reference field="8" count="1" selected="0">
            <x v="0"/>
          </reference>
        </references>
      </pivotArea>
    </format>
    <format dxfId="42">
      <pivotArea dataOnly="0" labelOnly="1" outline="0" fieldPosition="0">
        <references count="4">
          <reference field="1" count="1" selected="0">
            <x v="13"/>
          </reference>
          <reference field="2" count="1" selected="0">
            <x v="0"/>
          </reference>
          <reference field="3" count="1">
            <x v="1"/>
          </reference>
          <reference field="8" count="1" selected="0">
            <x v="0"/>
          </reference>
        </references>
      </pivotArea>
    </format>
    <format dxfId="41">
      <pivotArea dataOnly="0" labelOnly="1" outline="0" fieldPosition="0">
        <references count="4">
          <reference field="1" count="1" selected="0">
            <x v="14"/>
          </reference>
          <reference field="2" count="1" selected="0">
            <x v="0"/>
          </reference>
          <reference field="3" count="1">
            <x v="1"/>
          </reference>
          <reference field="8" count="1" selected="0">
            <x v="0"/>
          </reference>
        </references>
      </pivotArea>
    </format>
    <format dxfId="40">
      <pivotArea dataOnly="0" labelOnly="1" outline="0" fieldPosition="0">
        <references count="4">
          <reference field="1" count="1" selected="0">
            <x v="15"/>
          </reference>
          <reference field="2" count="1" selected="0">
            <x v="1"/>
          </reference>
          <reference field="3" count="1">
            <x v="1"/>
          </reference>
          <reference field="8" count="1" selected="0">
            <x v="0"/>
          </reference>
        </references>
      </pivotArea>
    </format>
    <format dxfId="39">
      <pivotArea dataOnly="0" labelOnly="1" outline="0" fieldPosition="0">
        <references count="4">
          <reference field="1" count="1" selected="0">
            <x v="16"/>
          </reference>
          <reference field="2" count="1" selected="0">
            <x v="1"/>
          </reference>
          <reference field="3" count="1">
            <x v="0"/>
          </reference>
          <reference field="8" count="1" selected="0">
            <x v="0"/>
          </reference>
        </references>
      </pivotArea>
    </format>
    <format dxfId="38">
      <pivotArea dataOnly="0" labelOnly="1" outline="0" fieldPosition="0">
        <references count="4">
          <reference field="1" count="1" selected="0">
            <x v="17"/>
          </reference>
          <reference field="2" count="1" selected="0">
            <x v="2"/>
          </reference>
          <reference field="3" count="1">
            <x v="1"/>
          </reference>
          <reference field="8" count="1" selected="0">
            <x v="0"/>
          </reference>
        </references>
      </pivotArea>
    </format>
    <format dxfId="37">
      <pivotArea dataOnly="0" labelOnly="1" outline="0" fieldPosition="0">
        <references count="4">
          <reference field="1" count="1" selected="0">
            <x v="18"/>
          </reference>
          <reference field="2" count="1" selected="0">
            <x v="2"/>
          </reference>
          <reference field="3" count="1">
            <x v="0"/>
          </reference>
          <reference field="8" count="1" selected="0">
            <x v="0"/>
          </reference>
        </references>
      </pivotArea>
    </format>
    <format dxfId="36">
      <pivotArea dataOnly="0" labelOnly="1" outline="0" fieldPosition="0">
        <references count="4">
          <reference field="1" count="1" selected="0">
            <x v="19"/>
          </reference>
          <reference field="2" count="1" selected="0">
            <x v="0"/>
          </reference>
          <reference field="3" count="1">
            <x v="1"/>
          </reference>
          <reference field="8" count="1" selected="0">
            <x v="0"/>
          </reference>
        </references>
      </pivotArea>
    </format>
    <format dxfId="35">
      <pivotArea dataOnly="0" labelOnly="1" outline="0" fieldPosition="0">
        <references count="4">
          <reference field="1" count="1" selected="0">
            <x v="20"/>
          </reference>
          <reference field="2" count="1" selected="0">
            <x v="1"/>
          </reference>
          <reference field="3" count="1">
            <x v="1"/>
          </reference>
          <reference field="8" count="1" selected="0">
            <x v="0"/>
          </reference>
        </references>
      </pivotArea>
    </format>
    <format dxfId="34">
      <pivotArea dataOnly="0" labelOnly="1" outline="0" fieldPosition="0">
        <references count="4">
          <reference field="1" count="1" selected="0">
            <x v="21"/>
          </reference>
          <reference field="2" count="1" selected="0">
            <x v="1"/>
          </reference>
          <reference field="3" count="1">
            <x v="0"/>
          </reference>
          <reference field="8" count="1" selected="0">
            <x v="0"/>
          </reference>
        </references>
      </pivotArea>
    </format>
    <format dxfId="33">
      <pivotArea dataOnly="0" labelOnly="1" outline="0" fieldPosition="0">
        <references count="4">
          <reference field="1" count="1" selected="0">
            <x v="22"/>
          </reference>
          <reference field="2" count="1" selected="0">
            <x v="2"/>
          </reference>
          <reference field="3" count="1">
            <x v="1"/>
          </reference>
          <reference field="8" count="1" selected="0">
            <x v="0"/>
          </reference>
        </references>
      </pivotArea>
    </format>
    <format dxfId="32">
      <pivotArea dataOnly="0" labelOnly="1" outline="0" fieldPosition="0">
        <references count="4">
          <reference field="1" count="1" selected="0">
            <x v="23"/>
          </reference>
          <reference field="2" count="1" selected="0">
            <x v="2"/>
          </reference>
          <reference field="3" count="1">
            <x v="0"/>
          </reference>
          <reference field="8" count="1" selected="0">
            <x v="0"/>
          </reference>
        </references>
      </pivotArea>
    </format>
    <format dxfId="31">
      <pivotArea dataOnly="0" labelOnly="1" outline="0" fieldPosition="0">
        <references count="4">
          <reference field="1" count="1" selected="0">
            <x v="24"/>
          </reference>
          <reference field="2" count="1" selected="0">
            <x v="2"/>
          </reference>
          <reference field="3" count="1">
            <x v="1"/>
          </reference>
          <reference field="8" count="1" selected="0">
            <x v="0"/>
          </reference>
        </references>
      </pivotArea>
    </format>
    <format dxfId="30">
      <pivotArea dataOnly="0" labelOnly="1" outline="0" fieldPosition="0">
        <references count="4">
          <reference field="1" count="1" selected="0">
            <x v="25"/>
          </reference>
          <reference field="2" count="1" selected="0">
            <x v="2"/>
          </reference>
          <reference field="3" count="1">
            <x v="0"/>
          </reference>
          <reference field="8" count="1" selected="0">
            <x v="0"/>
          </reference>
        </references>
      </pivotArea>
    </format>
    <format dxfId="29">
      <pivotArea dataOnly="0" labelOnly="1" outline="0" fieldPosition="0">
        <references count="4">
          <reference field="1" count="1" selected="0">
            <x v="26"/>
          </reference>
          <reference field="2" count="1" selected="0">
            <x v="1"/>
          </reference>
          <reference field="3" count="1">
            <x v="1"/>
          </reference>
          <reference field="8" count="1" selected="0">
            <x v="0"/>
          </reference>
        </references>
      </pivotArea>
    </format>
    <format dxfId="28">
      <pivotArea dataOnly="0" labelOnly="1" outline="0" fieldPosition="0">
        <references count="4">
          <reference field="1" count="1" selected="0">
            <x v="27"/>
          </reference>
          <reference field="2" count="1" selected="0">
            <x v="1"/>
          </reference>
          <reference field="3" count="1">
            <x v="0"/>
          </reference>
          <reference field="8" count="1" selected="0">
            <x v="0"/>
          </reference>
        </references>
      </pivotArea>
    </format>
    <format dxfId="27">
      <pivotArea dataOnly="0" labelOnly="1" outline="0" fieldPosition="0">
        <references count="4">
          <reference field="1" count="1" selected="0">
            <x v="28"/>
          </reference>
          <reference field="2" count="1" selected="0">
            <x v="0"/>
          </reference>
          <reference field="3" count="1">
            <x v="1"/>
          </reference>
          <reference field="8" count="1" selected="0">
            <x v="2"/>
          </reference>
        </references>
      </pivotArea>
    </format>
    <format dxfId="26">
      <pivotArea dataOnly="0" labelOnly="1" outline="0" fieldPosition="0">
        <references count="4">
          <reference field="1" count="1" selected="0">
            <x v="29"/>
          </reference>
          <reference field="2" count="1" selected="0">
            <x v="1"/>
          </reference>
          <reference field="3" count="1">
            <x v="1"/>
          </reference>
          <reference field="8" count="1" selected="0">
            <x v="2"/>
          </reference>
        </references>
      </pivotArea>
    </format>
    <format dxfId="25">
      <pivotArea dataOnly="0" labelOnly="1" outline="0" fieldPosition="0">
        <references count="4">
          <reference field="1" count="1" selected="0">
            <x v="30"/>
          </reference>
          <reference field="2" count="1" selected="0">
            <x v="1"/>
          </reference>
          <reference field="3" count="1">
            <x v="0"/>
          </reference>
          <reference field="8" count="1" selected="0">
            <x v="2"/>
          </reference>
        </references>
      </pivotArea>
    </format>
    <format dxfId="24">
      <pivotArea dataOnly="0" labelOnly="1" outline="0" fieldPosition="0">
        <references count="4">
          <reference field="1" count="1" selected="0">
            <x v="31"/>
          </reference>
          <reference field="2" count="1" selected="0">
            <x v="2"/>
          </reference>
          <reference field="3" count="1">
            <x v="1"/>
          </reference>
          <reference field="8" count="1" selected="0">
            <x v="2"/>
          </reference>
        </references>
      </pivotArea>
    </format>
    <format dxfId="23">
      <pivotArea dataOnly="0" labelOnly="1" outline="0" fieldPosition="0">
        <references count="4">
          <reference field="1" count="1" selected="0">
            <x v="32"/>
          </reference>
          <reference field="2" count="1" selected="0">
            <x v="2"/>
          </reference>
          <reference field="3" count="1">
            <x v="0"/>
          </reference>
          <reference field="8" count="1" selected="0">
            <x v="2"/>
          </reference>
        </references>
      </pivotArea>
    </format>
    <format dxfId="22">
      <pivotArea dataOnly="0" labelOnly="1" outline="0" fieldPosition="0">
        <references count="4">
          <reference field="1" count="1" selected="0">
            <x v="33"/>
          </reference>
          <reference field="2" count="1" selected="0">
            <x v="0"/>
          </reference>
          <reference field="3" count="1">
            <x v="1"/>
          </reference>
          <reference field="8" count="1" selected="0">
            <x v="1"/>
          </reference>
        </references>
      </pivotArea>
    </format>
    <format dxfId="21">
      <pivotArea dataOnly="0" labelOnly="1" outline="0" fieldPosition="0">
        <references count="4">
          <reference field="1" count="1" selected="0">
            <x v="34"/>
          </reference>
          <reference field="2" count="1" selected="0">
            <x v="1"/>
          </reference>
          <reference field="3" count="1">
            <x v="1"/>
          </reference>
          <reference field="8" count="1" selected="0">
            <x v="1"/>
          </reference>
        </references>
      </pivotArea>
    </format>
    <format dxfId="20">
      <pivotArea dataOnly="0" labelOnly="1" outline="0" fieldPosition="0">
        <references count="4">
          <reference field="1" count="1" selected="0">
            <x v="35"/>
          </reference>
          <reference field="2" count="1" selected="0">
            <x v="1"/>
          </reference>
          <reference field="3" count="1">
            <x v="0"/>
          </reference>
          <reference field="8" count="1" selected="0">
            <x v="1"/>
          </reference>
        </references>
      </pivotArea>
    </format>
    <format dxfId="19">
      <pivotArea dataOnly="0" labelOnly="1" outline="0" fieldPosition="0">
        <references count="4">
          <reference field="1" count="1" selected="0">
            <x v="36"/>
          </reference>
          <reference field="2" count="1" selected="0">
            <x v="2"/>
          </reference>
          <reference field="3" count="1">
            <x v="1"/>
          </reference>
          <reference field="8" count="1" selected="0">
            <x v="1"/>
          </reference>
        </references>
      </pivotArea>
    </format>
    <format dxfId="18">
      <pivotArea dataOnly="0" labelOnly="1" outline="0" fieldPosition="0">
        <references count="4">
          <reference field="1" count="1" selected="0">
            <x v="37"/>
          </reference>
          <reference field="2" count="1" selected="0">
            <x v="2"/>
          </reference>
          <reference field="3" count="1">
            <x v="0"/>
          </reference>
          <reference field="8" count="1" selected="0">
            <x v="1"/>
          </reference>
        </references>
      </pivotArea>
    </format>
    <format dxfId="17">
      <pivotArea dataOnly="0" labelOnly="1" outline="0" fieldPosition="0">
        <references count="4">
          <reference field="1" count="1" selected="0">
            <x v="38"/>
          </reference>
          <reference field="2" count="1" selected="0">
            <x v="2"/>
          </reference>
          <reference field="3" count="1">
            <x v="0"/>
          </reference>
          <reference field="8" count="1" selected="0">
            <x v="4"/>
          </reference>
        </references>
      </pivotArea>
    </format>
    <format dxfId="16">
      <pivotArea dataOnly="0" labelOnly="1" outline="0" fieldPosition="0">
        <references count="4">
          <reference field="1" count="1" selected="0">
            <x v="39"/>
          </reference>
          <reference field="2" count="1" selected="0">
            <x v="2"/>
          </reference>
          <reference field="3" count="1">
            <x v="1"/>
          </reference>
          <reference field="8" count="1" selected="0">
            <x v="4"/>
          </reference>
        </references>
      </pivotArea>
    </format>
    <format dxfId="15">
      <pivotArea dataOnly="0" labelOnly="1" outline="0" fieldPosition="0">
        <references count="4">
          <reference field="1" count="1" selected="0">
            <x v="40"/>
          </reference>
          <reference field="2" count="1" selected="0">
            <x v="0"/>
          </reference>
          <reference field="3" count="1">
            <x v="1"/>
          </reference>
          <reference field="8" count="1" selected="0">
            <x v="4"/>
          </reference>
        </references>
      </pivotArea>
    </format>
    <format dxfId="14">
      <pivotArea dataOnly="0" labelOnly="1" outline="0" fieldPosition="0">
        <references count="4">
          <reference field="1" count="1" selected="0">
            <x v="41"/>
          </reference>
          <reference field="2" count="1" selected="0">
            <x v="1"/>
          </reference>
          <reference field="3" count="1">
            <x v="0"/>
          </reference>
          <reference field="8" count="1" selected="0">
            <x v="5"/>
          </reference>
        </references>
      </pivotArea>
    </format>
    <format dxfId="13">
      <pivotArea dataOnly="0" labelOnly="1" outline="0" fieldPosition="0">
        <references count="4">
          <reference field="1" count="1" selected="0">
            <x v="42"/>
          </reference>
          <reference field="2" count="1" selected="0">
            <x v="2"/>
          </reference>
          <reference field="3" count="1">
            <x v="0"/>
          </reference>
          <reference field="8" count="1" selected="0">
            <x v="5"/>
          </reference>
        </references>
      </pivotArea>
    </format>
    <format dxfId="12">
      <pivotArea dataOnly="0" labelOnly="1" outline="0" fieldPosition="0">
        <references count="4">
          <reference field="1" count="1" selected="0">
            <x v="43"/>
          </reference>
          <reference field="2" count="1" selected="0">
            <x v="1"/>
          </reference>
          <reference field="3" count="1">
            <x v="1"/>
          </reference>
          <reference field="8" count="1" selected="0">
            <x v="4"/>
          </reference>
        </references>
      </pivotArea>
    </format>
    <format dxfId="11">
      <pivotArea dataOnly="0" labelOnly="1" outline="0" fieldPosition="0">
        <references count="4">
          <reference field="1" count="1" selected="0">
            <x v="44"/>
          </reference>
          <reference field="2" count="1" selected="0">
            <x v="1"/>
          </reference>
          <reference field="3" count="1">
            <x v="0"/>
          </reference>
          <reference field="8" count="1" selected="0">
            <x v="4"/>
          </reference>
        </references>
      </pivotArea>
    </format>
    <format dxfId="10">
      <pivotArea dataOnly="0" labelOnly="1" outline="0" fieldPosition="0">
        <references count="4">
          <reference field="1" count="1" selected="0">
            <x v="45"/>
          </reference>
          <reference field="2" count="1" selected="0">
            <x v="0"/>
          </reference>
          <reference field="3" count="1">
            <x v="1"/>
          </reference>
          <reference field="8" count="1" selected="0">
            <x v="7"/>
          </reference>
        </references>
      </pivotArea>
    </format>
    <format dxfId="9">
      <pivotArea dataOnly="0" labelOnly="1" outline="0" fieldPosition="0">
        <references count="4">
          <reference field="1" count="1" selected="0">
            <x v="46"/>
          </reference>
          <reference field="2" count="1" selected="0">
            <x v="1"/>
          </reference>
          <reference field="3" count="1">
            <x v="1"/>
          </reference>
          <reference field="8" count="1" selected="0">
            <x v="7"/>
          </reference>
        </references>
      </pivotArea>
    </format>
    <format dxfId="8">
      <pivotArea dataOnly="0" labelOnly="1" outline="0" fieldPosition="0">
        <references count="4">
          <reference field="1" count="1" selected="0">
            <x v="47"/>
          </reference>
          <reference field="2" count="1" selected="0">
            <x v="1"/>
          </reference>
          <reference field="3" count="1">
            <x v="0"/>
          </reference>
          <reference field="8" count="1" selected="0">
            <x v="7"/>
          </reference>
        </references>
      </pivotArea>
    </format>
    <format dxfId="7">
      <pivotArea dataOnly="0" labelOnly="1" outline="0" fieldPosition="0">
        <references count="4">
          <reference field="1" count="1" selected="0">
            <x v="48"/>
          </reference>
          <reference field="2" count="1" selected="0">
            <x v="2"/>
          </reference>
          <reference field="3" count="1">
            <x v="1"/>
          </reference>
          <reference field="8" count="1" selected="0">
            <x v="7"/>
          </reference>
        </references>
      </pivotArea>
    </format>
    <format dxfId="6">
      <pivotArea dataOnly="0" labelOnly="1" outline="0" fieldPosition="0">
        <references count="4">
          <reference field="1" count="1" selected="0">
            <x v="49"/>
          </reference>
          <reference field="2" count="1" selected="0">
            <x v="2"/>
          </reference>
          <reference field="3" count="1">
            <x v="0"/>
          </reference>
          <reference field="8" count="1" selected="0">
            <x v="7"/>
          </reference>
        </references>
      </pivotArea>
    </format>
    <format dxfId="5">
      <pivotArea dataOnly="0" labelOnly="1" outline="0" fieldPosition="0">
        <references count="4">
          <reference field="1" count="1" selected="0">
            <x v="50"/>
          </reference>
          <reference field="2" count="1" selected="0">
            <x v="0"/>
          </reference>
          <reference field="3" count="1">
            <x v="1"/>
          </reference>
          <reference field="8" count="1" selected="0">
            <x v="7"/>
          </reference>
        </references>
      </pivotArea>
    </format>
    <format dxfId="4">
      <pivotArea dataOnly="0" labelOnly="1" outline="0" fieldPosition="0">
        <references count="4">
          <reference field="1" count="1" selected="0">
            <x v="51"/>
          </reference>
          <reference field="2" count="1" selected="0">
            <x v="1"/>
          </reference>
          <reference field="3" count="1">
            <x v="1"/>
          </reference>
          <reference field="8" count="1" selected="0">
            <x v="7"/>
          </reference>
        </references>
      </pivotArea>
    </format>
    <format dxfId="3">
      <pivotArea dataOnly="0" labelOnly="1" outline="0" fieldPosition="0">
        <references count="4">
          <reference field="1" count="1" selected="0">
            <x v="52"/>
          </reference>
          <reference field="2" count="1" selected="0">
            <x v="1"/>
          </reference>
          <reference field="3" count="1">
            <x v="0"/>
          </reference>
          <reference field="8" count="1" selected="0">
            <x v="7"/>
          </reference>
        </references>
      </pivotArea>
    </format>
    <format dxfId="2">
      <pivotArea dataOnly="0" labelOnly="1" outline="0" fieldPosition="0">
        <references count="4">
          <reference field="1" count="1" selected="0">
            <x v="53"/>
          </reference>
          <reference field="2" count="1" selected="0">
            <x v="2"/>
          </reference>
          <reference field="3" count="1">
            <x v="1"/>
          </reference>
          <reference field="8" count="1" selected="0">
            <x v="7"/>
          </reference>
        </references>
      </pivotArea>
    </format>
    <format dxfId="1">
      <pivotArea dataOnly="0" labelOnly="1" outline="0" fieldPosition="0">
        <references count="4">
          <reference field="1" count="1" selected="0">
            <x v="54"/>
          </reference>
          <reference field="2" count="1" selected="0">
            <x v="2"/>
          </reference>
          <reference field="3" count="1">
            <x v="0"/>
          </reference>
          <reference field="8" count="1" selected="0">
            <x v="7"/>
          </reference>
        </references>
      </pivotArea>
    </format>
    <format dxfId="0">
      <pivotArea dataOnly="0" labelOnly="1" outline="0" fieldPosition="0">
        <references count="4">
          <reference field="1" count="1" selected="0">
            <x v="55"/>
          </reference>
          <reference field="2" count="1" selected="0">
            <x v="0"/>
          </reference>
          <reference field="3" count="1">
            <x v="1"/>
          </reference>
          <reference field="8"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ivotTable" Target="../pivotTables/pivotTable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pivotTable" Target="../pivotTables/pivotTable6.xml"/><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pivotTable" Target="../pivotTables/pivotTable1.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4.xml"/><Relationship Id="rId7" Type="http://schemas.openxmlformats.org/officeDocument/2006/relationships/comments" Target="../comments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vmlDrawing" Target="../drawings/vmlDrawing4.vml"/><Relationship Id="rId5" Type="http://schemas.openxmlformats.org/officeDocument/2006/relationships/drawing" Target="../drawings/drawing2.xml"/><Relationship Id="rId4"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1"/>
  </sheetPr>
  <dimension ref="A1:B14"/>
  <sheetViews>
    <sheetView showGridLines="0" topLeftCell="A7" workbookViewId="0">
      <selection activeCell="B8" sqref="B8:B11"/>
    </sheetView>
  </sheetViews>
  <sheetFormatPr defaultRowHeight="14.4"/>
  <cols>
    <col min="1" max="1" width="106.5546875" customWidth="1"/>
    <col min="2" max="2" width="55.109375" customWidth="1"/>
  </cols>
  <sheetData>
    <row r="1" spans="1:2" ht="18">
      <c r="A1" s="444" t="s">
        <v>451</v>
      </c>
    </row>
    <row r="2" spans="1:2" ht="18">
      <c r="A2" s="444" t="s">
        <v>452</v>
      </c>
    </row>
    <row r="3" spans="1:2" ht="15" thickBot="1">
      <c r="A3" s="442"/>
    </row>
    <row r="4" spans="1:2">
      <c r="A4" s="443" t="s">
        <v>394</v>
      </c>
      <c r="B4" s="698"/>
    </row>
    <row r="5" spans="1:2" ht="17.399999999999999">
      <c r="A5" s="681" t="s">
        <v>782</v>
      </c>
      <c r="B5" s="698"/>
    </row>
    <row r="6" spans="1:2" ht="126">
      <c r="A6" s="211" t="s">
        <v>781</v>
      </c>
      <c r="B6" s="698"/>
    </row>
    <row r="7" spans="1:2" ht="100.8">
      <c r="A7" s="425" t="s">
        <v>717</v>
      </c>
      <c r="B7" s="698"/>
    </row>
    <row r="8" spans="1:2" ht="28.8">
      <c r="A8" s="212" t="s">
        <v>431</v>
      </c>
      <c r="B8" s="698"/>
    </row>
    <row r="9" spans="1:2" ht="43.2">
      <c r="A9" s="212" t="s">
        <v>756</v>
      </c>
      <c r="B9" s="698"/>
    </row>
    <row r="10" spans="1:2" ht="43.2">
      <c r="A10" s="213" t="s">
        <v>718</v>
      </c>
      <c r="B10" s="698"/>
    </row>
    <row r="11" spans="1:2" ht="43.2">
      <c r="A11" s="212" t="s">
        <v>719</v>
      </c>
      <c r="B11" s="698"/>
    </row>
    <row r="12" spans="1:2" ht="72" hidden="1">
      <c r="A12" s="549" t="s">
        <v>428</v>
      </c>
    </row>
    <row r="13" spans="1:2" ht="57.6" hidden="1">
      <c r="A13" s="549" t="s">
        <v>429</v>
      </c>
    </row>
    <row r="14" spans="1:2" ht="29.4" hidden="1" thickBot="1">
      <c r="A14" s="550" t="s">
        <v>430</v>
      </c>
    </row>
  </sheetData>
  <sheetProtection selectLockedCells="1"/>
  <mergeCells count="2">
    <mergeCell ref="B4:B7"/>
    <mergeCell ref="B8:B1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8EB1F-6C56-4F8C-AE92-ADF2C455DD61}">
  <sheetPr>
    <tabColor theme="4" tint="0.79998168889431442"/>
  </sheetPr>
  <dimension ref="A1:AM178"/>
  <sheetViews>
    <sheetView workbookViewId="0">
      <selection activeCell="R22" sqref="R22"/>
    </sheetView>
  </sheetViews>
  <sheetFormatPr defaultColWidth="9.109375" defaultRowHeight="14.4"/>
  <cols>
    <col min="1" max="1" width="13.109375" style="480" bestFit="1" customWidth="1"/>
    <col min="2" max="2" width="16.33203125" style="480" bestFit="1" customWidth="1"/>
    <col min="3" max="3" width="11.6640625" style="480" bestFit="1" customWidth="1"/>
    <col min="4" max="9" width="13.6640625" style="480" bestFit="1" customWidth="1"/>
    <col min="10" max="10" width="7" style="480" bestFit="1" customWidth="1"/>
    <col min="11" max="11" width="11.6640625" style="480" bestFit="1" customWidth="1"/>
    <col min="12" max="12" width="11.88671875" style="480" bestFit="1" customWidth="1"/>
    <col min="13" max="13" width="8.6640625" style="480" bestFit="1" customWidth="1"/>
    <col min="14" max="14" width="11.88671875" style="480" bestFit="1" customWidth="1"/>
    <col min="15" max="15" width="9.109375" style="480"/>
    <col min="16" max="16" width="8.88671875"/>
    <col min="17" max="17" width="16.33203125" style="480" bestFit="1" customWidth="1"/>
    <col min="18" max="18" width="7" style="480" bestFit="1" customWidth="1"/>
    <col min="19" max="19" width="11.6640625" style="480" bestFit="1" customWidth="1"/>
    <col min="20" max="20" width="11.88671875" style="480" bestFit="1" customWidth="1"/>
    <col min="21" max="21" width="8.6640625" style="480" bestFit="1" customWidth="1"/>
    <col min="22" max="22" width="11.88671875" style="480" bestFit="1" customWidth="1"/>
    <col min="23" max="16384" width="9.109375" style="480"/>
  </cols>
  <sheetData>
    <row r="1" spans="1:25">
      <c r="A1" s="557" t="s">
        <v>612</v>
      </c>
      <c r="P1" s="485"/>
    </row>
    <row r="2" spans="1:25">
      <c r="A2" s="480" t="s">
        <v>601</v>
      </c>
    </row>
    <row r="3" spans="1:25">
      <c r="A3" s="480" t="s">
        <v>602</v>
      </c>
    </row>
    <row r="4" spans="1:25">
      <c r="A4" s="480" t="s">
        <v>603</v>
      </c>
    </row>
    <row r="5" spans="1:25">
      <c r="A5" s="480" t="s">
        <v>747</v>
      </c>
    </row>
    <row r="6" spans="1:25">
      <c r="A6" s="739" t="s">
        <v>748</v>
      </c>
      <c r="B6" s="739"/>
      <c r="C6" s="739"/>
      <c r="D6" s="739"/>
      <c r="E6" s="739"/>
      <c r="F6" s="739"/>
      <c r="G6" s="739"/>
      <c r="H6" s="739"/>
      <c r="I6" s="739"/>
      <c r="J6" s="739"/>
      <c r="K6" s="739"/>
      <c r="L6" s="739"/>
      <c r="M6" s="739"/>
      <c r="N6" s="739"/>
      <c r="O6" s="739"/>
    </row>
    <row r="7" spans="1:25">
      <c r="A7" s="739"/>
      <c r="B7" s="739"/>
      <c r="C7" s="739"/>
      <c r="D7" s="739"/>
      <c r="E7" s="739"/>
      <c r="F7" s="739"/>
      <c r="G7" s="739"/>
      <c r="H7" s="739"/>
      <c r="I7" s="739"/>
      <c r="J7" s="739"/>
      <c r="K7" s="739"/>
      <c r="L7" s="739"/>
      <c r="M7" s="739"/>
      <c r="N7" s="739"/>
      <c r="O7" s="739"/>
    </row>
    <row r="8" spans="1:25">
      <c r="A8" s="480" t="s">
        <v>604</v>
      </c>
    </row>
    <row r="9" spans="1:25">
      <c r="D9" s="482" t="str">
        <f>"FY"&amp;YEAR(D14)+1</f>
        <v>FY2023</v>
      </c>
      <c r="E9" s="483" t="str">
        <f t="shared" ref="E9:I9" si="0">"FY"&amp;YEAR(E14)+1</f>
        <v>FY2024</v>
      </c>
      <c r="F9" s="482" t="str">
        <f t="shared" si="0"/>
        <v>FY2023</v>
      </c>
      <c r="G9" s="483" t="str">
        <f t="shared" si="0"/>
        <v>FY2024</v>
      </c>
      <c r="H9" s="482" t="str">
        <f t="shared" si="0"/>
        <v>FY2023</v>
      </c>
      <c r="I9" s="483" t="str">
        <f t="shared" si="0"/>
        <v>FY2024</v>
      </c>
      <c r="P9" s="560"/>
    </row>
    <row r="10" spans="1:25" ht="15" customHeight="1">
      <c r="D10" s="740" t="s">
        <v>214</v>
      </c>
      <c r="E10" s="740"/>
      <c r="F10" s="740" t="s">
        <v>315</v>
      </c>
      <c r="G10" s="740"/>
      <c r="H10" s="740" t="s">
        <v>152</v>
      </c>
      <c r="I10" s="740"/>
      <c r="J10" s="741" t="s">
        <v>728</v>
      </c>
      <c r="K10" s="741"/>
      <c r="L10" s="741"/>
      <c r="M10" s="741"/>
      <c r="N10" s="741"/>
      <c r="O10" s="741"/>
      <c r="Q10" s="484"/>
      <c r="R10" s="484"/>
      <c r="S10" s="484"/>
      <c r="T10" s="484"/>
      <c r="U10" s="484"/>
      <c r="V10" s="484"/>
      <c r="Y10" s="485"/>
    </row>
    <row r="11" spans="1:25">
      <c r="C11" s="486" t="s">
        <v>605</v>
      </c>
      <c r="D11" s="487" t="s">
        <v>606</v>
      </c>
      <c r="E11" s="487" t="s">
        <v>607</v>
      </c>
      <c r="F11" s="487" t="s">
        <v>608</v>
      </c>
      <c r="G11" s="487" t="s">
        <v>609</v>
      </c>
      <c r="H11" s="484"/>
      <c r="I11" s="484"/>
      <c r="J11" s="741"/>
      <c r="K11" s="741"/>
      <c r="L11" s="741"/>
      <c r="M11" s="741"/>
      <c r="N11" s="741"/>
      <c r="O11" s="741"/>
      <c r="Q11" s="484"/>
      <c r="R11" s="484"/>
      <c r="S11" s="484"/>
      <c r="T11" s="484"/>
      <c r="U11" s="484"/>
      <c r="V11" s="484"/>
    </row>
    <row r="12" spans="1:25">
      <c r="A12" s="474" t="s">
        <v>610</v>
      </c>
      <c r="B12"/>
      <c r="C12"/>
      <c r="D12" s="474" t="s">
        <v>7</v>
      </c>
      <c r="E12" s="474" t="s">
        <v>5</v>
      </c>
      <c r="F12"/>
      <c r="G12"/>
      <c r="H12"/>
      <c r="I12"/>
      <c r="J12" s="741"/>
      <c r="K12" s="741"/>
      <c r="L12" s="741"/>
      <c r="M12" s="741"/>
      <c r="N12" s="741"/>
      <c r="O12" s="741"/>
      <c r="P12" s="560"/>
      <c r="Q12" s="484"/>
      <c r="R12" s="484"/>
      <c r="S12" s="484"/>
      <c r="T12" s="484"/>
      <c r="U12" s="484"/>
      <c r="V12" s="484"/>
    </row>
    <row r="13" spans="1:25">
      <c r="A13"/>
      <c r="B13"/>
      <c r="C13"/>
      <c r="D13" t="s">
        <v>15</v>
      </c>
      <c r="E13"/>
      <c r="F13" t="s">
        <v>375</v>
      </c>
      <c r="G13"/>
      <c r="H13" s="479" t="s">
        <v>575</v>
      </c>
      <c r="I13"/>
      <c r="J13" s="484" t="s">
        <v>611</v>
      </c>
      <c r="L13" s="484"/>
      <c r="M13" s="484"/>
      <c r="N13" s="484"/>
      <c r="O13" s="484"/>
      <c r="Q13" s="484"/>
      <c r="R13" s="484"/>
      <c r="S13" s="484"/>
      <c r="T13" s="484"/>
      <c r="U13" s="484"/>
      <c r="V13" s="484"/>
    </row>
    <row r="14" spans="1:25">
      <c r="A14" s="474" t="s">
        <v>11</v>
      </c>
      <c r="B14" s="474" t="s">
        <v>9</v>
      </c>
      <c r="C14" s="474" t="s">
        <v>10</v>
      </c>
      <c r="D14" s="177">
        <v>44743</v>
      </c>
      <c r="E14" s="177">
        <v>45108</v>
      </c>
      <c r="F14" s="177">
        <v>44743</v>
      </c>
      <c r="G14" s="177">
        <v>45108</v>
      </c>
      <c r="H14" s="177">
        <v>44743</v>
      </c>
      <c r="I14" s="177">
        <v>45108</v>
      </c>
      <c r="J14" s="484"/>
      <c r="K14" s="562" t="s">
        <v>15</v>
      </c>
      <c r="L14" s="562" t="s">
        <v>375</v>
      </c>
      <c r="M14" s="562" t="s">
        <v>575</v>
      </c>
      <c r="N14" s="484"/>
      <c r="O14" s="484"/>
      <c r="Q14" s="484"/>
      <c r="R14" s="484"/>
      <c r="S14" s="484"/>
      <c r="T14" s="484"/>
      <c r="U14" s="484"/>
      <c r="V14" s="484"/>
    </row>
    <row r="15" spans="1:25">
      <c r="A15" t="s">
        <v>16</v>
      </c>
      <c r="B15">
        <v>1</v>
      </c>
      <c r="C15">
        <v>1</v>
      </c>
      <c r="D15">
        <v>27.69</v>
      </c>
      <c r="E15">
        <v>28.8</v>
      </c>
      <c r="F15">
        <v>27.12</v>
      </c>
      <c r="G15">
        <v>28.2</v>
      </c>
      <c r="H15">
        <v>27.69</v>
      </c>
      <c r="I15">
        <v>28.8</v>
      </c>
      <c r="J15" s="484"/>
      <c r="K15" s="495">
        <f>E15/D15-1</f>
        <v>4.008667388949072E-2</v>
      </c>
      <c r="L15" s="495">
        <f t="shared" ref="L15:L46" si="1">G15/F15-1</f>
        <v>3.9823008849557473E-2</v>
      </c>
      <c r="M15" s="495">
        <f t="shared" ref="M15:M46" si="2">I15/H15-1</f>
        <v>4.008667388949072E-2</v>
      </c>
      <c r="O15" s="484"/>
      <c r="Q15" s="484"/>
      <c r="R15" s="484"/>
      <c r="S15" s="484"/>
      <c r="T15" s="484"/>
      <c r="U15" s="484"/>
      <c r="V15" s="484"/>
    </row>
    <row r="16" spans="1:25">
      <c r="A16"/>
      <c r="B16"/>
      <c r="C16">
        <v>2</v>
      </c>
      <c r="D16">
        <v>30.56</v>
      </c>
      <c r="E16">
        <v>31.78</v>
      </c>
      <c r="F16">
        <v>29.65</v>
      </c>
      <c r="G16">
        <v>30.84</v>
      </c>
      <c r="H16">
        <v>30.56</v>
      </c>
      <c r="I16">
        <v>31.78</v>
      </c>
      <c r="J16" s="484"/>
      <c r="K16" s="495">
        <f t="shared" ref="K16:K79" si="3">E16/D16-1</f>
        <v>3.9921465968586478E-2</v>
      </c>
      <c r="L16" s="495">
        <f t="shared" si="1"/>
        <v>4.0134907251264895E-2</v>
      </c>
      <c r="M16" s="495">
        <f t="shared" si="2"/>
        <v>3.9921465968586478E-2</v>
      </c>
      <c r="O16" s="484"/>
      <c r="Q16" s="484"/>
      <c r="R16" s="484"/>
      <c r="S16" s="484"/>
      <c r="T16" s="484"/>
      <c r="U16" s="484"/>
      <c r="V16" s="484"/>
    </row>
    <row r="17" spans="1:25">
      <c r="A17"/>
      <c r="B17"/>
      <c r="C17">
        <v>3</v>
      </c>
      <c r="D17">
        <v>35.229999999999997</v>
      </c>
      <c r="E17">
        <v>36.64</v>
      </c>
      <c r="F17">
        <v>33.76</v>
      </c>
      <c r="G17">
        <v>35.11</v>
      </c>
      <c r="H17">
        <v>35.229999999999997</v>
      </c>
      <c r="I17">
        <v>36.64</v>
      </c>
      <c r="J17" s="484"/>
      <c r="K17" s="495">
        <f t="shared" si="3"/>
        <v>4.0022707919386891E-2</v>
      </c>
      <c r="L17" s="495">
        <f t="shared" si="1"/>
        <v>3.9988151658767901E-2</v>
      </c>
      <c r="M17" s="495">
        <f t="shared" si="2"/>
        <v>4.0022707919386891E-2</v>
      </c>
      <c r="O17" s="484"/>
      <c r="P17" s="241"/>
      <c r="Q17" s="484"/>
      <c r="R17" s="484"/>
      <c r="S17" s="484"/>
      <c r="T17" s="484"/>
      <c r="U17" s="484"/>
      <c r="V17" s="484"/>
    </row>
    <row r="18" spans="1:25">
      <c r="A18"/>
      <c r="B18"/>
      <c r="C18">
        <v>4</v>
      </c>
      <c r="D18">
        <v>41.56</v>
      </c>
      <c r="E18">
        <v>43.22</v>
      </c>
      <c r="F18">
        <v>39.299999999999997</v>
      </c>
      <c r="G18">
        <v>40.869999999999997</v>
      </c>
      <c r="H18">
        <v>41.56</v>
      </c>
      <c r="I18">
        <v>43.22</v>
      </c>
      <c r="J18" s="484"/>
      <c r="K18" s="495">
        <f t="shared" si="3"/>
        <v>3.9942252165543701E-2</v>
      </c>
      <c r="L18" s="495">
        <f t="shared" si="1"/>
        <v>3.9949109414758377E-2</v>
      </c>
      <c r="M18" s="495">
        <f t="shared" si="2"/>
        <v>3.9942252165543701E-2</v>
      </c>
      <c r="O18" s="484"/>
      <c r="Q18" s="484"/>
      <c r="R18" s="484"/>
      <c r="S18" s="484"/>
      <c r="T18" s="484"/>
      <c r="U18" s="484"/>
      <c r="V18" s="484"/>
      <c r="Y18" s="485"/>
    </row>
    <row r="19" spans="1:25">
      <c r="A19"/>
      <c r="B19"/>
      <c r="C19">
        <v>5</v>
      </c>
      <c r="D19">
        <v>47.1</v>
      </c>
      <c r="E19">
        <v>48.98</v>
      </c>
      <c r="F19">
        <v>44.14</v>
      </c>
      <c r="G19">
        <v>45.91</v>
      </c>
      <c r="H19">
        <v>47.1</v>
      </c>
      <c r="I19">
        <v>48.98</v>
      </c>
      <c r="J19" s="484"/>
      <c r="K19" s="495">
        <f t="shared" si="3"/>
        <v>3.991507430997876E-2</v>
      </c>
      <c r="L19" s="495">
        <f t="shared" si="1"/>
        <v>4.0099682827367422E-2</v>
      </c>
      <c r="M19" s="495">
        <f t="shared" si="2"/>
        <v>3.991507430997876E-2</v>
      </c>
      <c r="O19" s="484"/>
      <c r="Q19" s="484"/>
      <c r="R19" s="484"/>
      <c r="S19" s="484"/>
      <c r="T19" s="484"/>
      <c r="U19" s="484"/>
      <c r="V19" s="484"/>
    </row>
    <row r="20" spans="1:25">
      <c r="A20"/>
      <c r="B20">
        <v>2</v>
      </c>
      <c r="C20">
        <v>1</v>
      </c>
      <c r="D20">
        <v>33.090000000000003</v>
      </c>
      <c r="E20">
        <v>34.409999999999997</v>
      </c>
      <c r="F20">
        <v>48.54</v>
      </c>
      <c r="G20">
        <v>50.48</v>
      </c>
      <c r="H20">
        <v>33.090000000000003</v>
      </c>
      <c r="I20">
        <v>34.409999999999997</v>
      </c>
      <c r="J20" s="484"/>
      <c r="K20" s="495">
        <f t="shared" si="3"/>
        <v>3.9891205802357055E-2</v>
      </c>
      <c r="L20" s="495">
        <f t="shared" si="1"/>
        <v>3.9967037494849533E-2</v>
      </c>
      <c r="M20" s="495">
        <f t="shared" si="2"/>
        <v>3.9891205802357055E-2</v>
      </c>
      <c r="O20" s="484"/>
      <c r="Q20" s="484"/>
      <c r="R20" s="484"/>
      <c r="S20" s="484"/>
      <c r="T20" s="484"/>
      <c r="U20" s="484"/>
      <c r="V20" s="484"/>
    </row>
    <row r="21" spans="1:25">
      <c r="A21"/>
      <c r="B21"/>
      <c r="C21">
        <v>2</v>
      </c>
      <c r="D21">
        <v>35.950000000000003</v>
      </c>
      <c r="E21">
        <v>37.39</v>
      </c>
      <c r="F21">
        <v>51.08</v>
      </c>
      <c r="G21">
        <v>53.12</v>
      </c>
      <c r="H21">
        <v>35.950000000000003</v>
      </c>
      <c r="I21">
        <v>37.39</v>
      </c>
      <c r="J21" s="484"/>
      <c r="K21" s="495">
        <f t="shared" si="3"/>
        <v>4.0055632823365661E-2</v>
      </c>
      <c r="L21" s="495">
        <f t="shared" si="1"/>
        <v>3.9937353171495715E-2</v>
      </c>
      <c r="M21" s="495">
        <f t="shared" si="2"/>
        <v>4.0055632823365661E-2</v>
      </c>
      <c r="O21" s="484"/>
      <c r="P21" s="560"/>
      <c r="Q21" s="484"/>
      <c r="R21" s="484"/>
      <c r="S21" s="484"/>
      <c r="T21" s="484"/>
      <c r="U21" s="484"/>
      <c r="V21" s="484"/>
      <c r="Y21" s="485"/>
    </row>
    <row r="22" spans="1:25">
      <c r="A22"/>
      <c r="B22"/>
      <c r="C22">
        <v>3</v>
      </c>
      <c r="D22">
        <v>40.65</v>
      </c>
      <c r="E22">
        <v>42.28</v>
      </c>
      <c r="F22">
        <v>55.17</v>
      </c>
      <c r="G22">
        <v>57.38</v>
      </c>
      <c r="H22">
        <v>40.65</v>
      </c>
      <c r="I22">
        <v>42.28</v>
      </c>
      <c r="J22" s="484"/>
      <c r="K22" s="495">
        <f t="shared" si="3"/>
        <v>4.0098400984009963E-2</v>
      </c>
      <c r="L22" s="495">
        <f t="shared" si="1"/>
        <v>4.0058002537610937E-2</v>
      </c>
      <c r="M22" s="495">
        <f t="shared" si="2"/>
        <v>4.0098400984009963E-2</v>
      </c>
      <c r="O22" s="484"/>
      <c r="Q22" s="484"/>
      <c r="R22" s="484"/>
      <c r="S22" s="484"/>
      <c r="T22" s="484"/>
      <c r="U22" s="484"/>
      <c r="V22" s="484"/>
    </row>
    <row r="23" spans="1:25">
      <c r="A23"/>
      <c r="B23"/>
      <c r="C23">
        <v>4</v>
      </c>
      <c r="D23">
        <v>46.9</v>
      </c>
      <c r="E23">
        <v>48.78</v>
      </c>
      <c r="F23">
        <v>60.72</v>
      </c>
      <c r="G23">
        <v>63.15</v>
      </c>
      <c r="H23">
        <v>46.9</v>
      </c>
      <c r="I23">
        <v>48.78</v>
      </c>
      <c r="J23" s="484"/>
      <c r="K23" s="495">
        <f t="shared" si="3"/>
        <v>4.008528784648191E-2</v>
      </c>
      <c r="L23" s="495">
        <f t="shared" si="1"/>
        <v>4.0019762845849849E-2</v>
      </c>
      <c r="M23" s="495">
        <f t="shared" si="2"/>
        <v>4.008528784648191E-2</v>
      </c>
      <c r="O23" s="484"/>
      <c r="Q23" s="484"/>
      <c r="R23" s="484"/>
      <c r="S23" s="484"/>
      <c r="T23" s="484"/>
      <c r="U23" s="484"/>
      <c r="V23" s="484"/>
    </row>
    <row r="24" spans="1:25">
      <c r="A24"/>
      <c r="B24"/>
      <c r="C24">
        <v>5</v>
      </c>
      <c r="D24">
        <v>52.46</v>
      </c>
      <c r="E24">
        <v>54.56</v>
      </c>
      <c r="F24">
        <v>65.58</v>
      </c>
      <c r="G24">
        <v>68.2</v>
      </c>
      <c r="H24">
        <v>52.46</v>
      </c>
      <c r="I24">
        <v>54.56</v>
      </c>
      <c r="J24" s="484"/>
      <c r="K24" s="495">
        <f t="shared" si="3"/>
        <v>4.0030499428135746E-2</v>
      </c>
      <c r="L24" s="495">
        <f t="shared" si="1"/>
        <v>3.9951204635559678E-2</v>
      </c>
      <c r="M24" s="495">
        <f t="shared" si="2"/>
        <v>4.0030499428135746E-2</v>
      </c>
      <c r="O24" s="484"/>
      <c r="Q24" s="484"/>
      <c r="R24" s="484"/>
      <c r="S24" s="484"/>
      <c r="T24" s="484"/>
      <c r="U24" s="484"/>
      <c r="V24" s="484"/>
    </row>
    <row r="25" spans="1:25">
      <c r="A25"/>
      <c r="B25">
        <v>3</v>
      </c>
      <c r="C25">
        <v>1</v>
      </c>
      <c r="D25">
        <v>43.58</v>
      </c>
      <c r="E25">
        <v>45.32</v>
      </c>
      <c r="F25">
        <v>82.74</v>
      </c>
      <c r="G25">
        <v>86.05</v>
      </c>
      <c r="H25">
        <v>43.58</v>
      </c>
      <c r="I25">
        <v>45.32</v>
      </c>
      <c r="J25" s="484"/>
      <c r="K25" s="495">
        <f t="shared" si="3"/>
        <v>3.9926571821936818E-2</v>
      </c>
      <c r="L25" s="495">
        <f t="shared" si="1"/>
        <v>4.0004834421078161E-2</v>
      </c>
      <c r="M25" s="495">
        <f t="shared" si="2"/>
        <v>3.9926571821936818E-2</v>
      </c>
      <c r="O25" s="484"/>
      <c r="Q25" s="484"/>
      <c r="R25" s="484"/>
      <c r="S25" s="484"/>
      <c r="T25" s="484"/>
      <c r="U25" s="484"/>
      <c r="V25" s="484"/>
    </row>
    <row r="26" spans="1:25">
      <c r="A26"/>
      <c r="B26"/>
      <c r="C26">
        <v>2</v>
      </c>
      <c r="D26">
        <v>46.48</v>
      </c>
      <c r="E26">
        <v>48.34</v>
      </c>
      <c r="F26">
        <v>85.31</v>
      </c>
      <c r="G26">
        <v>88.72</v>
      </c>
      <c r="H26">
        <v>46.48</v>
      </c>
      <c r="I26">
        <v>48.34</v>
      </c>
      <c r="J26" s="484"/>
      <c r="K26" s="495">
        <f t="shared" si="3"/>
        <v>4.0017211703958777E-2</v>
      </c>
      <c r="L26" s="495">
        <f t="shared" si="1"/>
        <v>3.9971867307466935E-2</v>
      </c>
      <c r="M26" s="495">
        <f t="shared" si="2"/>
        <v>4.0017211703958777E-2</v>
      </c>
      <c r="O26" s="484"/>
      <c r="Q26" s="484"/>
      <c r="R26" s="484"/>
      <c r="S26" s="484"/>
      <c r="T26" s="484"/>
      <c r="U26" s="484"/>
      <c r="V26" s="484"/>
      <c r="Y26" s="559"/>
    </row>
    <row r="27" spans="1:25">
      <c r="A27"/>
      <c r="B27"/>
      <c r="C27">
        <v>3</v>
      </c>
      <c r="D27">
        <v>51.15</v>
      </c>
      <c r="E27">
        <v>53.2</v>
      </c>
      <c r="F27">
        <v>89.36</v>
      </c>
      <c r="G27">
        <v>92.93</v>
      </c>
      <c r="H27">
        <v>51.15</v>
      </c>
      <c r="I27">
        <v>53.2</v>
      </c>
      <c r="J27" s="484"/>
      <c r="K27" s="495">
        <f t="shared" si="3"/>
        <v>4.0078201368524136E-2</v>
      </c>
      <c r="L27" s="495">
        <f t="shared" si="1"/>
        <v>3.9950760966875665E-2</v>
      </c>
      <c r="M27" s="495">
        <f t="shared" si="2"/>
        <v>4.0078201368524136E-2</v>
      </c>
      <c r="O27" s="484"/>
      <c r="Q27" s="484"/>
      <c r="R27" s="484"/>
      <c r="S27" s="484"/>
      <c r="T27" s="484"/>
      <c r="U27" s="484"/>
      <c r="V27" s="484"/>
    </row>
    <row r="28" spans="1:25">
      <c r="A28"/>
      <c r="B28"/>
      <c r="C28">
        <v>4</v>
      </c>
      <c r="D28">
        <v>57.42</v>
      </c>
      <c r="E28">
        <v>59.72</v>
      </c>
      <c r="F28">
        <v>94.89</v>
      </c>
      <c r="G28">
        <v>98.69</v>
      </c>
      <c r="H28">
        <v>57.42</v>
      </c>
      <c r="I28">
        <v>59.72</v>
      </c>
      <c r="J28" s="484"/>
      <c r="K28" s="495">
        <f t="shared" si="3"/>
        <v>4.0055729710902099E-2</v>
      </c>
      <c r="L28" s="495">
        <f t="shared" si="1"/>
        <v>4.0046369480450927E-2</v>
      </c>
      <c r="M28" s="495">
        <f t="shared" si="2"/>
        <v>4.0055729710902099E-2</v>
      </c>
      <c r="O28" s="484"/>
      <c r="Q28" s="484"/>
      <c r="R28" s="484"/>
      <c r="S28" s="484"/>
      <c r="T28" s="484"/>
      <c r="U28" s="484"/>
      <c r="V28" s="484"/>
    </row>
    <row r="29" spans="1:25">
      <c r="A29"/>
      <c r="B29"/>
      <c r="C29">
        <v>5</v>
      </c>
      <c r="D29">
        <v>62.97</v>
      </c>
      <c r="E29">
        <v>65.489999999999995</v>
      </c>
      <c r="F29">
        <v>99.8</v>
      </c>
      <c r="G29">
        <v>103.79</v>
      </c>
      <c r="H29">
        <v>62.97</v>
      </c>
      <c r="I29">
        <v>65.489999999999995</v>
      </c>
      <c r="J29" s="484"/>
      <c r="K29" s="495">
        <f t="shared" si="3"/>
        <v>4.0019056693663568E-2</v>
      </c>
      <c r="L29" s="495">
        <f t="shared" si="1"/>
        <v>3.9979959919839825E-2</v>
      </c>
      <c r="M29" s="495">
        <f t="shared" si="2"/>
        <v>4.0019056693663568E-2</v>
      </c>
      <c r="O29" s="484"/>
      <c r="Q29" s="484"/>
      <c r="R29" s="484"/>
      <c r="S29" s="484"/>
      <c r="T29" s="484"/>
      <c r="U29" s="484"/>
      <c r="V29" s="484"/>
    </row>
    <row r="30" spans="1:25">
      <c r="A30"/>
      <c r="B30">
        <v>4</v>
      </c>
      <c r="C30">
        <v>1</v>
      </c>
      <c r="D30">
        <v>54.37</v>
      </c>
      <c r="E30">
        <v>56.54</v>
      </c>
      <c r="F30">
        <v>134.03</v>
      </c>
      <c r="G30">
        <v>139.38999999999999</v>
      </c>
      <c r="H30">
        <v>54.37</v>
      </c>
      <c r="I30">
        <v>56.54</v>
      </c>
      <c r="J30" s="484"/>
      <c r="K30" s="495">
        <f t="shared" si="3"/>
        <v>3.9911716019863874E-2</v>
      </c>
      <c r="L30" s="495">
        <f t="shared" si="1"/>
        <v>3.9991046780571304E-2</v>
      </c>
      <c r="M30" s="495">
        <f t="shared" si="2"/>
        <v>3.9911716019863874E-2</v>
      </c>
      <c r="O30" s="484"/>
      <c r="Q30" s="484"/>
      <c r="R30" s="484"/>
      <c r="S30" s="484"/>
      <c r="T30" s="484"/>
      <c r="U30" s="484"/>
      <c r="V30" s="484"/>
      <c r="Y30" s="485"/>
    </row>
    <row r="31" spans="1:25">
      <c r="A31"/>
      <c r="B31"/>
      <c r="C31">
        <v>2</v>
      </c>
      <c r="D31">
        <v>57.27</v>
      </c>
      <c r="E31">
        <v>59.56</v>
      </c>
      <c r="F31">
        <v>136.58000000000001</v>
      </c>
      <c r="G31">
        <v>142.04</v>
      </c>
      <c r="H31">
        <v>57.27</v>
      </c>
      <c r="I31">
        <v>59.56</v>
      </c>
      <c r="J31" s="484"/>
      <c r="K31" s="495">
        <f t="shared" si="3"/>
        <v>3.9986031080845086E-2</v>
      </c>
      <c r="L31" s="495">
        <f t="shared" si="1"/>
        <v>3.9976570508126974E-2</v>
      </c>
      <c r="M31" s="495">
        <f t="shared" si="2"/>
        <v>3.9986031080845086E-2</v>
      </c>
      <c r="O31" s="484"/>
      <c r="Q31" s="484"/>
      <c r="R31" s="484"/>
      <c r="S31" s="484"/>
      <c r="T31" s="484"/>
      <c r="U31" s="484"/>
      <c r="V31" s="484"/>
    </row>
    <row r="32" spans="1:25">
      <c r="A32"/>
      <c r="B32"/>
      <c r="C32">
        <v>3</v>
      </c>
      <c r="D32">
        <v>61.94</v>
      </c>
      <c r="E32">
        <v>64.42</v>
      </c>
      <c r="F32">
        <v>140.68</v>
      </c>
      <c r="G32">
        <v>146.31</v>
      </c>
      <c r="H32">
        <v>61.94</v>
      </c>
      <c r="I32">
        <v>64.42</v>
      </c>
      <c r="J32" s="484"/>
      <c r="K32" s="495">
        <f t="shared" si="3"/>
        <v>4.0038747174685252E-2</v>
      </c>
      <c r="L32" s="495">
        <f t="shared" si="1"/>
        <v>4.0019903326698802E-2</v>
      </c>
      <c r="M32" s="495">
        <f t="shared" si="2"/>
        <v>4.0038747174685252E-2</v>
      </c>
      <c r="O32" s="484"/>
      <c r="Q32" s="484"/>
      <c r="R32" s="484"/>
      <c r="S32" s="484"/>
      <c r="T32" s="484"/>
      <c r="U32" s="484"/>
      <c r="V32" s="484"/>
    </row>
    <row r="33" spans="1:22">
      <c r="A33"/>
      <c r="B33"/>
      <c r="C33">
        <v>4</v>
      </c>
      <c r="D33">
        <v>68.25</v>
      </c>
      <c r="E33">
        <v>70.98</v>
      </c>
      <c r="F33">
        <v>146.22</v>
      </c>
      <c r="G33">
        <v>152.07</v>
      </c>
      <c r="H33">
        <v>68.25</v>
      </c>
      <c r="I33">
        <v>70.98</v>
      </c>
      <c r="J33" s="484"/>
      <c r="K33" s="495">
        <f t="shared" si="3"/>
        <v>4.0000000000000036E-2</v>
      </c>
      <c r="L33" s="495">
        <f t="shared" si="1"/>
        <v>4.0008206811653624E-2</v>
      </c>
      <c r="M33" s="495">
        <f t="shared" si="2"/>
        <v>4.0000000000000036E-2</v>
      </c>
      <c r="O33" s="484"/>
      <c r="Q33" s="484"/>
      <c r="R33" s="484"/>
      <c r="S33" s="484"/>
      <c r="T33" s="484"/>
      <c r="U33" s="484"/>
      <c r="V33" s="484"/>
    </row>
    <row r="34" spans="1:22">
      <c r="A34"/>
      <c r="B34"/>
      <c r="C34">
        <v>5</v>
      </c>
      <c r="D34">
        <v>73.77</v>
      </c>
      <c r="E34">
        <v>76.72</v>
      </c>
      <c r="F34">
        <v>151.08000000000001</v>
      </c>
      <c r="G34">
        <v>157.12</v>
      </c>
      <c r="H34">
        <v>73.77</v>
      </c>
      <c r="I34">
        <v>76.72</v>
      </c>
      <c r="J34" s="484"/>
      <c r="K34" s="495">
        <f t="shared" si="3"/>
        <v>3.9989155483258765E-2</v>
      </c>
      <c r="L34" s="495">
        <f t="shared" si="1"/>
        <v>3.9978819168652313E-2</v>
      </c>
      <c r="M34" s="495">
        <f t="shared" si="2"/>
        <v>3.9989155483258765E-2</v>
      </c>
      <c r="O34" s="484"/>
      <c r="Q34" s="484"/>
      <c r="R34" s="484"/>
      <c r="S34" s="484"/>
      <c r="T34" s="484"/>
      <c r="U34" s="484"/>
      <c r="V34" s="484"/>
    </row>
    <row r="35" spans="1:22">
      <c r="A35"/>
      <c r="B35">
        <v>5</v>
      </c>
      <c r="C35">
        <v>1</v>
      </c>
      <c r="D35">
        <v>75.709999999999994</v>
      </c>
      <c r="E35">
        <v>78.739999999999995</v>
      </c>
      <c r="F35">
        <v>192.2</v>
      </c>
      <c r="G35">
        <v>199.89</v>
      </c>
      <c r="H35">
        <v>75.709999999999994</v>
      </c>
      <c r="I35">
        <v>78.739999999999995</v>
      </c>
      <c r="J35" s="484"/>
      <c r="K35" s="495">
        <f t="shared" si="3"/>
        <v>4.0021133271694653E-2</v>
      </c>
      <c r="L35" s="495">
        <f t="shared" si="1"/>
        <v>4.0010405827263229E-2</v>
      </c>
      <c r="M35" s="495">
        <f t="shared" si="2"/>
        <v>4.0021133271694653E-2</v>
      </c>
      <c r="O35" s="484"/>
      <c r="Q35" s="484"/>
      <c r="R35" s="484"/>
      <c r="S35" s="484"/>
      <c r="T35" s="484"/>
      <c r="U35" s="484"/>
      <c r="V35" s="484"/>
    </row>
    <row r="36" spans="1:22">
      <c r="A36"/>
      <c r="B36"/>
      <c r="C36">
        <v>2</v>
      </c>
      <c r="D36">
        <v>78.59</v>
      </c>
      <c r="E36">
        <v>81.73</v>
      </c>
      <c r="F36">
        <v>194.71</v>
      </c>
      <c r="G36">
        <v>202.5</v>
      </c>
      <c r="H36">
        <v>78.59</v>
      </c>
      <c r="I36">
        <v>81.73</v>
      </c>
      <c r="J36" s="484"/>
      <c r="K36" s="495">
        <f t="shared" si="3"/>
        <v>3.9954192645374809E-2</v>
      </c>
      <c r="L36" s="495">
        <f t="shared" si="1"/>
        <v>4.0008217348877828E-2</v>
      </c>
      <c r="M36" s="495">
        <f t="shared" si="2"/>
        <v>3.9954192645374809E-2</v>
      </c>
      <c r="O36" s="484"/>
      <c r="Q36" s="484"/>
      <c r="R36" s="484"/>
      <c r="S36" s="484"/>
      <c r="T36" s="484"/>
      <c r="U36" s="484"/>
      <c r="V36" s="484"/>
    </row>
    <row r="37" spans="1:22">
      <c r="A37"/>
      <c r="B37"/>
      <c r="C37">
        <v>3</v>
      </c>
      <c r="D37">
        <v>83.25</v>
      </c>
      <c r="E37">
        <v>86.58</v>
      </c>
      <c r="F37">
        <v>198.81</v>
      </c>
      <c r="G37">
        <v>206.76</v>
      </c>
      <c r="H37">
        <v>83.25</v>
      </c>
      <c r="I37">
        <v>86.58</v>
      </c>
      <c r="J37" s="484"/>
      <c r="K37" s="495">
        <f t="shared" si="3"/>
        <v>4.0000000000000036E-2</v>
      </c>
      <c r="L37" s="495">
        <f t="shared" si="1"/>
        <v>3.9987928172626974E-2</v>
      </c>
      <c r="M37" s="495">
        <f t="shared" si="2"/>
        <v>4.0000000000000036E-2</v>
      </c>
      <c r="O37" s="484"/>
      <c r="Q37" s="484"/>
      <c r="R37" s="484"/>
      <c r="S37" s="484"/>
      <c r="T37" s="484"/>
      <c r="U37" s="484"/>
      <c r="V37" s="484"/>
    </row>
    <row r="38" spans="1:22">
      <c r="A38"/>
      <c r="B38"/>
      <c r="C38">
        <v>4</v>
      </c>
      <c r="D38">
        <v>89.55</v>
      </c>
      <c r="E38">
        <v>93.13</v>
      </c>
      <c r="F38">
        <v>204.34</v>
      </c>
      <c r="G38">
        <v>212.51</v>
      </c>
      <c r="H38">
        <v>89.55</v>
      </c>
      <c r="I38">
        <v>93.13</v>
      </c>
      <c r="J38" s="484"/>
      <c r="K38" s="495">
        <f t="shared" si="3"/>
        <v>3.9977666108319321E-2</v>
      </c>
      <c r="L38" s="495">
        <f t="shared" si="1"/>
        <v>3.9982382304003083E-2</v>
      </c>
      <c r="M38" s="495">
        <f t="shared" si="2"/>
        <v>3.9977666108319321E-2</v>
      </c>
      <c r="O38" s="484"/>
      <c r="Q38" s="484"/>
      <c r="R38" s="484"/>
      <c r="S38" s="484"/>
      <c r="T38" s="484"/>
      <c r="U38" s="484"/>
      <c r="V38" s="484"/>
    </row>
    <row r="39" spans="1:22">
      <c r="A39"/>
      <c r="B39"/>
      <c r="C39">
        <v>5</v>
      </c>
      <c r="D39">
        <v>95.09</v>
      </c>
      <c r="E39">
        <v>98.89</v>
      </c>
      <c r="F39">
        <v>209.21</v>
      </c>
      <c r="G39">
        <v>217.58</v>
      </c>
      <c r="H39">
        <v>95.09</v>
      </c>
      <c r="I39">
        <v>98.89</v>
      </c>
      <c r="J39" s="484"/>
      <c r="K39" s="495">
        <f t="shared" si="3"/>
        <v>3.9962141129456175E-2</v>
      </c>
      <c r="L39" s="495">
        <f t="shared" si="1"/>
        <v>4.000764781798205E-2</v>
      </c>
      <c r="M39" s="495">
        <f t="shared" si="2"/>
        <v>3.9962141129456175E-2</v>
      </c>
      <c r="O39" s="484"/>
      <c r="Q39" s="484"/>
      <c r="R39" s="484"/>
      <c r="S39" s="484"/>
      <c r="T39" s="484"/>
      <c r="U39" s="484"/>
      <c r="V39" s="484"/>
    </row>
    <row r="40" spans="1:22">
      <c r="A40" t="s">
        <v>17</v>
      </c>
      <c r="B40">
        <v>1</v>
      </c>
      <c r="C40">
        <v>1</v>
      </c>
      <c r="D40">
        <v>29.87</v>
      </c>
      <c r="E40">
        <v>31.07</v>
      </c>
      <c r="F40">
        <v>29.26</v>
      </c>
      <c r="G40">
        <v>30.42</v>
      </c>
      <c r="H40">
        <v>29.87</v>
      </c>
      <c r="I40">
        <v>31.07</v>
      </c>
      <c r="J40" s="484"/>
      <c r="K40" s="495">
        <f t="shared" si="3"/>
        <v>4.01740877134249E-2</v>
      </c>
      <c r="L40" s="495">
        <f t="shared" si="1"/>
        <v>3.9644565960355482E-2</v>
      </c>
      <c r="M40" s="495">
        <f t="shared" si="2"/>
        <v>4.01740877134249E-2</v>
      </c>
      <c r="O40" s="484"/>
      <c r="Q40" s="484"/>
      <c r="R40" s="484"/>
      <c r="S40" s="484"/>
      <c r="T40" s="484"/>
      <c r="U40" s="484"/>
      <c r="V40" s="484"/>
    </row>
    <row r="41" spans="1:22">
      <c r="A41"/>
      <c r="B41"/>
      <c r="C41">
        <v>2</v>
      </c>
      <c r="D41">
        <v>32.97</v>
      </c>
      <c r="E41">
        <v>34.29</v>
      </c>
      <c r="F41">
        <v>31.99</v>
      </c>
      <c r="G41">
        <v>33.270000000000003</v>
      </c>
      <c r="H41">
        <v>32.97</v>
      </c>
      <c r="I41">
        <v>34.29</v>
      </c>
      <c r="J41" s="484"/>
      <c r="K41" s="495">
        <f t="shared" si="3"/>
        <v>4.0036396724294931E-2</v>
      </c>
      <c r="L41" s="495">
        <f t="shared" si="1"/>
        <v>4.0012503907471242E-2</v>
      </c>
      <c r="M41" s="495">
        <f t="shared" si="2"/>
        <v>4.0036396724294931E-2</v>
      </c>
      <c r="O41" s="484"/>
      <c r="Q41" s="484"/>
      <c r="R41" s="484"/>
      <c r="S41" s="484"/>
      <c r="T41" s="484"/>
      <c r="U41" s="484"/>
      <c r="V41" s="484"/>
    </row>
    <row r="42" spans="1:22">
      <c r="A42"/>
      <c r="B42"/>
      <c r="C42">
        <v>3</v>
      </c>
      <c r="D42">
        <v>38.01</v>
      </c>
      <c r="E42">
        <v>39.53</v>
      </c>
      <c r="F42">
        <v>36.42</v>
      </c>
      <c r="G42">
        <v>37.880000000000003</v>
      </c>
      <c r="H42">
        <v>38.01</v>
      </c>
      <c r="I42">
        <v>39.53</v>
      </c>
      <c r="J42" s="484"/>
      <c r="K42" s="495">
        <f t="shared" si="3"/>
        <v>3.9989476453564876E-2</v>
      </c>
      <c r="L42" s="495">
        <f t="shared" si="1"/>
        <v>4.0087863811092861E-2</v>
      </c>
      <c r="M42" s="495">
        <f t="shared" si="2"/>
        <v>3.9989476453564876E-2</v>
      </c>
      <c r="O42" s="484"/>
      <c r="Q42" s="484"/>
      <c r="R42" s="484"/>
      <c r="S42" s="484"/>
      <c r="T42" s="484"/>
      <c r="U42" s="484"/>
      <c r="V42" s="484"/>
    </row>
    <row r="43" spans="1:22">
      <c r="A43"/>
      <c r="B43"/>
      <c r="C43">
        <v>4</v>
      </c>
      <c r="D43">
        <v>44.84</v>
      </c>
      <c r="E43">
        <v>46.63</v>
      </c>
      <c r="F43">
        <v>42.4</v>
      </c>
      <c r="G43">
        <v>44.09</v>
      </c>
      <c r="H43">
        <v>44.84</v>
      </c>
      <c r="I43">
        <v>46.63</v>
      </c>
      <c r="J43" s="484"/>
      <c r="K43" s="495">
        <f t="shared" si="3"/>
        <v>3.9919714540588735E-2</v>
      </c>
      <c r="L43" s="495">
        <f t="shared" si="1"/>
        <v>3.9858490566037741E-2</v>
      </c>
      <c r="M43" s="495">
        <f t="shared" si="2"/>
        <v>3.9919714540588735E-2</v>
      </c>
      <c r="O43" s="484"/>
      <c r="Q43" s="484"/>
      <c r="R43" s="484"/>
      <c r="S43" s="484"/>
      <c r="T43" s="484"/>
      <c r="U43" s="484"/>
      <c r="V43" s="484"/>
    </row>
    <row r="44" spans="1:22">
      <c r="A44"/>
      <c r="B44"/>
      <c r="C44">
        <v>5</v>
      </c>
      <c r="D44">
        <v>50.82</v>
      </c>
      <c r="E44">
        <v>52.84</v>
      </c>
      <c r="F44">
        <v>47.62</v>
      </c>
      <c r="G44">
        <v>49.53</v>
      </c>
      <c r="H44">
        <v>50.82</v>
      </c>
      <c r="I44">
        <v>52.84</v>
      </c>
      <c r="J44" s="484"/>
      <c r="K44" s="495">
        <f t="shared" si="3"/>
        <v>3.9748130657221603E-2</v>
      </c>
      <c r="L44" s="495">
        <f t="shared" si="1"/>
        <v>4.0109197816043718E-2</v>
      </c>
      <c r="M44" s="495">
        <f t="shared" si="2"/>
        <v>3.9748130657221603E-2</v>
      </c>
      <c r="O44" s="484"/>
      <c r="Q44" s="484"/>
      <c r="R44" s="484"/>
      <c r="S44" s="484"/>
      <c r="T44" s="484"/>
      <c r="U44" s="484"/>
      <c r="V44" s="484"/>
    </row>
    <row r="45" spans="1:22">
      <c r="A45"/>
      <c r="B45">
        <v>2</v>
      </c>
      <c r="C45">
        <v>1</v>
      </c>
      <c r="D45">
        <v>35.700000000000003</v>
      </c>
      <c r="E45">
        <v>37.119999999999997</v>
      </c>
      <c r="F45">
        <v>52.37</v>
      </c>
      <c r="G45">
        <v>54.46</v>
      </c>
      <c r="H45">
        <v>35.700000000000003</v>
      </c>
      <c r="I45">
        <v>37.119999999999997</v>
      </c>
      <c r="J45" s="484"/>
      <c r="K45" s="495">
        <f t="shared" si="3"/>
        <v>3.9775910364145517E-2</v>
      </c>
      <c r="L45" s="495">
        <f t="shared" si="1"/>
        <v>3.9908344472026069E-2</v>
      </c>
      <c r="M45" s="495">
        <f t="shared" si="2"/>
        <v>3.9775910364145517E-2</v>
      </c>
      <c r="O45" s="484"/>
      <c r="Q45" s="484"/>
      <c r="R45" s="484"/>
      <c r="S45" s="484"/>
      <c r="T45" s="484"/>
      <c r="U45" s="484"/>
      <c r="V45" s="484"/>
    </row>
    <row r="46" spans="1:22">
      <c r="A46"/>
      <c r="B46"/>
      <c r="C46">
        <v>2</v>
      </c>
      <c r="D46">
        <v>38.79</v>
      </c>
      <c r="E46">
        <v>40.340000000000003</v>
      </c>
      <c r="F46">
        <v>55.11</v>
      </c>
      <c r="G46">
        <v>57.31</v>
      </c>
      <c r="H46">
        <v>38.79</v>
      </c>
      <c r="I46">
        <v>40.340000000000003</v>
      </c>
      <c r="J46" s="484"/>
      <c r="K46" s="495">
        <f t="shared" si="3"/>
        <v>3.9958752255736085E-2</v>
      </c>
      <c r="L46" s="495">
        <f t="shared" si="1"/>
        <v>3.9920159680638667E-2</v>
      </c>
      <c r="M46" s="495">
        <f t="shared" si="2"/>
        <v>3.9958752255736085E-2</v>
      </c>
      <c r="O46" s="484"/>
      <c r="Q46" s="484"/>
      <c r="R46" s="484"/>
      <c r="S46" s="484"/>
      <c r="T46" s="484"/>
      <c r="U46" s="484"/>
      <c r="V46" s="484"/>
    </row>
    <row r="47" spans="1:22">
      <c r="A47"/>
      <c r="B47"/>
      <c r="C47">
        <v>3</v>
      </c>
      <c r="D47">
        <v>43.86</v>
      </c>
      <c r="E47">
        <v>45.62</v>
      </c>
      <c r="F47">
        <v>59.52</v>
      </c>
      <c r="G47">
        <v>61.91</v>
      </c>
      <c r="H47">
        <v>43.86</v>
      </c>
      <c r="I47">
        <v>45.62</v>
      </c>
      <c r="J47" s="484"/>
      <c r="K47" s="495">
        <f t="shared" si="3"/>
        <v>4.012767897856806E-2</v>
      </c>
      <c r="L47" s="495">
        <f t="shared" ref="L47:L78" si="4">G47/F47-1</f>
        <v>4.0154569892473013E-2</v>
      </c>
      <c r="M47" s="495">
        <f t="shared" ref="M47:M78" si="5">I47/H47-1</f>
        <v>4.012767897856806E-2</v>
      </c>
      <c r="O47" s="484"/>
      <c r="Q47" s="484"/>
      <c r="R47" s="484"/>
      <c r="S47" s="484"/>
      <c r="T47" s="484"/>
      <c r="U47" s="484"/>
      <c r="V47" s="484"/>
    </row>
    <row r="48" spans="1:22">
      <c r="A48"/>
      <c r="B48"/>
      <c r="C48">
        <v>4</v>
      </c>
      <c r="D48">
        <v>50.6</v>
      </c>
      <c r="E48">
        <v>52.63</v>
      </c>
      <c r="F48">
        <v>65.510000000000005</v>
      </c>
      <c r="G48">
        <v>68.13</v>
      </c>
      <c r="H48">
        <v>50.6</v>
      </c>
      <c r="I48">
        <v>52.63</v>
      </c>
      <c r="J48" s="484"/>
      <c r="K48" s="495">
        <f t="shared" si="3"/>
        <v>4.0118577075098916E-2</v>
      </c>
      <c r="L48" s="495">
        <f t="shared" si="4"/>
        <v>3.9993894061975066E-2</v>
      </c>
      <c r="M48" s="495">
        <f t="shared" si="5"/>
        <v>4.0118577075098916E-2</v>
      </c>
      <c r="O48" s="484"/>
      <c r="Q48" s="484"/>
      <c r="R48" s="484"/>
      <c r="S48" s="484"/>
      <c r="T48" s="484"/>
      <c r="U48" s="484"/>
      <c r="V48" s="484"/>
    </row>
    <row r="49" spans="1:25">
      <c r="A49"/>
      <c r="B49"/>
      <c r="C49">
        <v>5</v>
      </c>
      <c r="D49">
        <v>56.6</v>
      </c>
      <c r="E49">
        <v>58.86</v>
      </c>
      <c r="F49">
        <v>70.75</v>
      </c>
      <c r="G49">
        <v>73.58</v>
      </c>
      <c r="H49">
        <v>56.6</v>
      </c>
      <c r="I49">
        <v>58.86</v>
      </c>
      <c r="J49" s="484"/>
      <c r="K49" s="495">
        <f t="shared" si="3"/>
        <v>3.9929328621908011E-2</v>
      </c>
      <c r="L49" s="495">
        <f t="shared" si="4"/>
        <v>4.0000000000000036E-2</v>
      </c>
      <c r="M49" s="495">
        <f t="shared" si="5"/>
        <v>3.9929328621908011E-2</v>
      </c>
      <c r="O49" s="484"/>
      <c r="Q49" s="484"/>
      <c r="R49" s="484"/>
      <c r="S49" s="484"/>
      <c r="T49" s="484"/>
      <c r="U49" s="484"/>
      <c r="V49" s="484"/>
    </row>
    <row r="50" spans="1:25">
      <c r="A50"/>
      <c r="B50">
        <v>3</v>
      </c>
      <c r="C50">
        <v>1</v>
      </c>
      <c r="D50">
        <v>47.02</v>
      </c>
      <c r="E50">
        <v>48.9</v>
      </c>
      <c r="F50">
        <v>89.27</v>
      </c>
      <c r="G50">
        <v>92.84</v>
      </c>
      <c r="H50">
        <v>47.02</v>
      </c>
      <c r="I50">
        <v>48.9</v>
      </c>
      <c r="J50" s="484"/>
      <c r="K50" s="495">
        <f t="shared" si="3"/>
        <v>3.9982985963419759E-2</v>
      </c>
      <c r="L50" s="495">
        <f t="shared" si="4"/>
        <v>3.9991038422762415E-2</v>
      </c>
      <c r="M50" s="495">
        <f t="shared" si="5"/>
        <v>3.9982985963419759E-2</v>
      </c>
      <c r="O50" s="484"/>
      <c r="Q50" s="484"/>
      <c r="R50" s="484"/>
      <c r="S50" s="484"/>
      <c r="T50" s="484"/>
      <c r="U50" s="484"/>
      <c r="V50" s="484"/>
    </row>
    <row r="51" spans="1:25">
      <c r="A51"/>
      <c r="B51"/>
      <c r="C51">
        <v>2</v>
      </c>
      <c r="D51">
        <v>50.15</v>
      </c>
      <c r="E51">
        <v>52.15</v>
      </c>
      <c r="F51">
        <v>92.04</v>
      </c>
      <c r="G51">
        <v>95.72</v>
      </c>
      <c r="H51">
        <v>50.15</v>
      </c>
      <c r="I51">
        <v>52.15</v>
      </c>
      <c r="J51" s="484"/>
      <c r="K51" s="495">
        <f t="shared" si="3"/>
        <v>3.9880358923230386E-2</v>
      </c>
      <c r="L51" s="495">
        <f t="shared" si="4"/>
        <v>3.9982616253802616E-2</v>
      </c>
      <c r="M51" s="495">
        <f t="shared" si="5"/>
        <v>3.9880358923230386E-2</v>
      </c>
      <c r="O51" s="484"/>
      <c r="Q51" s="484"/>
      <c r="R51" s="484"/>
      <c r="S51" s="484"/>
      <c r="T51" s="484"/>
      <c r="U51" s="484"/>
      <c r="V51" s="484"/>
    </row>
    <row r="52" spans="1:25">
      <c r="A52"/>
      <c r="B52"/>
      <c r="C52">
        <v>3</v>
      </c>
      <c r="D52">
        <v>55.19</v>
      </c>
      <c r="E52">
        <v>57.4</v>
      </c>
      <c r="F52">
        <v>96.41</v>
      </c>
      <c r="G52">
        <v>100.26</v>
      </c>
      <c r="H52">
        <v>55.19</v>
      </c>
      <c r="I52">
        <v>57.4</v>
      </c>
      <c r="J52" s="484"/>
      <c r="K52" s="495">
        <f t="shared" si="3"/>
        <v>4.0043486138793272E-2</v>
      </c>
      <c r="L52" s="495">
        <f t="shared" si="4"/>
        <v>3.9933616844725739E-2</v>
      </c>
      <c r="M52" s="495">
        <f t="shared" si="5"/>
        <v>4.0043486138793272E-2</v>
      </c>
      <c r="O52" s="484"/>
      <c r="Q52" s="484"/>
      <c r="R52" s="484"/>
      <c r="S52" s="484"/>
      <c r="T52" s="484"/>
      <c r="U52" s="484"/>
      <c r="V52" s="484"/>
    </row>
    <row r="53" spans="1:25">
      <c r="A53"/>
      <c r="B53"/>
      <c r="C53">
        <v>4</v>
      </c>
      <c r="D53">
        <v>61.95</v>
      </c>
      <c r="E53">
        <v>64.430000000000007</v>
      </c>
      <c r="F53">
        <v>102.38</v>
      </c>
      <c r="G53">
        <v>106.48</v>
      </c>
      <c r="H53">
        <v>61.95</v>
      </c>
      <c r="I53">
        <v>64.430000000000007</v>
      </c>
      <c r="J53" s="484"/>
      <c r="K53" s="495">
        <f t="shared" si="3"/>
        <v>4.0032284100080862E-2</v>
      </c>
      <c r="L53" s="495">
        <f t="shared" si="4"/>
        <v>4.0046884157062035E-2</v>
      </c>
      <c r="M53" s="495">
        <f t="shared" si="5"/>
        <v>4.0032284100080862E-2</v>
      </c>
      <c r="O53" s="484"/>
      <c r="Q53" s="484"/>
      <c r="R53" s="484"/>
      <c r="S53" s="484"/>
      <c r="T53" s="484"/>
      <c r="U53" s="484"/>
      <c r="V53" s="484"/>
    </row>
    <row r="54" spans="1:25">
      <c r="A54"/>
      <c r="B54"/>
      <c r="C54">
        <v>5</v>
      </c>
      <c r="D54">
        <v>67.94</v>
      </c>
      <c r="E54">
        <v>70.66</v>
      </c>
      <c r="F54">
        <v>107.67</v>
      </c>
      <c r="G54">
        <v>111.98</v>
      </c>
      <c r="H54">
        <v>67.94</v>
      </c>
      <c r="I54">
        <v>70.66</v>
      </c>
      <c r="J54" s="484"/>
      <c r="K54" s="495">
        <f t="shared" si="3"/>
        <v>4.0035325287018031E-2</v>
      </c>
      <c r="L54" s="495">
        <f t="shared" si="4"/>
        <v>4.0029720442091632E-2</v>
      </c>
      <c r="M54" s="495">
        <f t="shared" si="5"/>
        <v>4.0035325287018031E-2</v>
      </c>
      <c r="O54" s="484"/>
      <c r="P54" s="560"/>
      <c r="Q54" s="484"/>
      <c r="R54" s="484"/>
      <c r="S54" s="484"/>
      <c r="T54" s="484"/>
      <c r="U54" s="484"/>
      <c r="V54" s="484"/>
    </row>
    <row r="55" spans="1:25">
      <c r="A55"/>
      <c r="B55">
        <v>4</v>
      </c>
      <c r="C55">
        <v>1</v>
      </c>
      <c r="D55">
        <v>58.66</v>
      </c>
      <c r="E55">
        <v>61</v>
      </c>
      <c r="F55">
        <v>144.6</v>
      </c>
      <c r="G55">
        <v>150.38999999999999</v>
      </c>
      <c r="H55">
        <v>58.66</v>
      </c>
      <c r="I55">
        <v>61</v>
      </c>
      <c r="J55" s="484"/>
      <c r="K55" s="495">
        <f t="shared" si="3"/>
        <v>3.9890896692805988E-2</v>
      </c>
      <c r="L55" s="495">
        <f t="shared" si="4"/>
        <v>4.0041493775933468E-2</v>
      </c>
      <c r="M55" s="495">
        <f t="shared" si="5"/>
        <v>3.9890896692805988E-2</v>
      </c>
      <c r="O55" s="484"/>
      <c r="Q55" s="484"/>
      <c r="R55" s="484"/>
      <c r="S55" s="484"/>
      <c r="T55" s="484"/>
      <c r="U55" s="484"/>
      <c r="V55" s="484"/>
    </row>
    <row r="56" spans="1:25">
      <c r="A56"/>
      <c r="B56"/>
      <c r="C56">
        <v>2</v>
      </c>
      <c r="D56">
        <v>61.79</v>
      </c>
      <c r="E56">
        <v>64.260000000000005</v>
      </c>
      <c r="F56">
        <v>147.36000000000001</v>
      </c>
      <c r="G56">
        <v>153.25</v>
      </c>
      <c r="H56">
        <v>61.79</v>
      </c>
      <c r="I56">
        <v>64.260000000000005</v>
      </c>
      <c r="J56" s="484"/>
      <c r="K56" s="495">
        <f t="shared" si="3"/>
        <v>3.9974105842369489E-2</v>
      </c>
      <c r="L56" s="495">
        <f t="shared" si="4"/>
        <v>3.9970141150922789E-2</v>
      </c>
      <c r="M56" s="495">
        <f t="shared" si="5"/>
        <v>3.9974105842369489E-2</v>
      </c>
      <c r="O56" s="484"/>
      <c r="Q56" s="484"/>
      <c r="R56" s="484"/>
      <c r="S56" s="484"/>
      <c r="T56" s="484"/>
      <c r="U56" s="484"/>
      <c r="V56" s="484"/>
    </row>
    <row r="57" spans="1:25">
      <c r="A57"/>
      <c r="B57"/>
      <c r="C57">
        <v>3</v>
      </c>
      <c r="D57">
        <v>66.83</v>
      </c>
      <c r="E57">
        <v>69.5</v>
      </c>
      <c r="F57">
        <v>151.78</v>
      </c>
      <c r="G57">
        <v>157.85</v>
      </c>
      <c r="H57">
        <v>66.83</v>
      </c>
      <c r="I57">
        <v>69.5</v>
      </c>
      <c r="J57" s="484"/>
      <c r="K57" s="495">
        <f t="shared" si="3"/>
        <v>3.9952117312584301E-2</v>
      </c>
      <c r="L57" s="495">
        <f t="shared" si="4"/>
        <v>3.9992093820002683E-2</v>
      </c>
      <c r="M57" s="495">
        <f t="shared" si="5"/>
        <v>3.9952117312584301E-2</v>
      </c>
      <c r="O57" s="484"/>
      <c r="Q57" s="484"/>
      <c r="R57" s="484"/>
      <c r="S57" s="484"/>
      <c r="T57" s="484"/>
      <c r="U57" s="484"/>
      <c r="V57" s="484"/>
    </row>
    <row r="58" spans="1:25">
      <c r="A58"/>
      <c r="B58"/>
      <c r="C58">
        <v>4</v>
      </c>
      <c r="D58">
        <v>73.63</v>
      </c>
      <c r="E58">
        <v>76.58</v>
      </c>
      <c r="F58">
        <v>157.76</v>
      </c>
      <c r="G58">
        <v>164.07</v>
      </c>
      <c r="H58">
        <v>73.63</v>
      </c>
      <c r="I58">
        <v>76.58</v>
      </c>
      <c r="J58" s="484"/>
      <c r="K58" s="495">
        <f t="shared" si="3"/>
        <v>4.0065190818959762E-2</v>
      </c>
      <c r="L58" s="495">
        <f t="shared" si="4"/>
        <v>3.9997464503042535E-2</v>
      </c>
      <c r="M58" s="495">
        <f t="shared" si="5"/>
        <v>4.0065190818959762E-2</v>
      </c>
      <c r="O58" s="484"/>
      <c r="Q58" s="484"/>
      <c r="R58" s="484"/>
      <c r="S58" s="484"/>
      <c r="T58" s="484"/>
      <c r="U58" s="484"/>
      <c r="V58" s="484"/>
    </row>
    <row r="59" spans="1:25">
      <c r="A59"/>
      <c r="B59"/>
      <c r="C59">
        <v>5</v>
      </c>
      <c r="D59">
        <v>79.59</v>
      </c>
      <c r="E59">
        <v>82.77</v>
      </c>
      <c r="F59">
        <v>163</v>
      </c>
      <c r="G59">
        <v>169.52</v>
      </c>
      <c r="H59">
        <v>79.59</v>
      </c>
      <c r="I59">
        <v>82.77</v>
      </c>
      <c r="J59" s="484"/>
      <c r="K59" s="495">
        <f t="shared" si="3"/>
        <v>3.995476818695809E-2</v>
      </c>
      <c r="L59" s="495">
        <f t="shared" si="4"/>
        <v>4.0000000000000036E-2</v>
      </c>
      <c r="M59" s="495">
        <f t="shared" si="5"/>
        <v>3.995476818695809E-2</v>
      </c>
      <c r="O59" s="484"/>
      <c r="Q59" s="484"/>
      <c r="R59" s="484"/>
      <c r="S59" s="484"/>
      <c r="T59" s="484"/>
      <c r="U59" s="484"/>
      <c r="V59" s="484"/>
    </row>
    <row r="60" spans="1:25">
      <c r="A60"/>
      <c r="B60">
        <v>5</v>
      </c>
      <c r="C60">
        <v>1</v>
      </c>
      <c r="D60">
        <v>81.680000000000007</v>
      </c>
      <c r="E60">
        <v>84.95</v>
      </c>
      <c r="F60">
        <v>207.36</v>
      </c>
      <c r="G60">
        <v>215.66</v>
      </c>
      <c r="H60">
        <v>81.680000000000007</v>
      </c>
      <c r="I60">
        <v>84.95</v>
      </c>
      <c r="J60" s="484"/>
      <c r="K60" s="495">
        <f t="shared" si="3"/>
        <v>4.003428011753174E-2</v>
      </c>
      <c r="L60" s="495">
        <f t="shared" si="4"/>
        <v>4.0027006172839386E-2</v>
      </c>
      <c r="M60" s="495">
        <f t="shared" si="5"/>
        <v>4.003428011753174E-2</v>
      </c>
      <c r="O60" s="484"/>
      <c r="Q60" s="484"/>
      <c r="R60" s="484"/>
      <c r="S60" s="484"/>
      <c r="T60" s="484"/>
      <c r="U60" s="484"/>
      <c r="V60" s="484"/>
    </row>
    <row r="61" spans="1:25">
      <c r="A61"/>
      <c r="B61"/>
      <c r="C61">
        <v>2</v>
      </c>
      <c r="D61">
        <v>84.79</v>
      </c>
      <c r="E61">
        <v>88.18</v>
      </c>
      <c r="F61">
        <v>210.07</v>
      </c>
      <c r="G61">
        <v>218.48</v>
      </c>
      <c r="H61">
        <v>84.79</v>
      </c>
      <c r="I61">
        <v>88.18</v>
      </c>
      <c r="J61" s="484"/>
      <c r="K61" s="495">
        <f t="shared" si="3"/>
        <v>3.9981129850218178E-2</v>
      </c>
      <c r="L61" s="495">
        <f t="shared" si="4"/>
        <v>4.0034274289522553E-2</v>
      </c>
      <c r="M61" s="495">
        <f t="shared" si="5"/>
        <v>3.9981129850218178E-2</v>
      </c>
      <c r="O61" s="484"/>
      <c r="Q61" s="484"/>
      <c r="R61" s="484"/>
      <c r="S61" s="484"/>
      <c r="T61" s="484"/>
      <c r="U61" s="484"/>
      <c r="V61" s="484"/>
    </row>
    <row r="62" spans="1:25">
      <c r="A62"/>
      <c r="B62"/>
      <c r="C62">
        <v>3</v>
      </c>
      <c r="D62">
        <v>89.82</v>
      </c>
      <c r="E62">
        <v>93.41</v>
      </c>
      <c r="F62">
        <v>214.5</v>
      </c>
      <c r="G62">
        <v>223.07</v>
      </c>
      <c r="H62">
        <v>89.82</v>
      </c>
      <c r="I62">
        <v>93.41</v>
      </c>
      <c r="J62" s="484"/>
      <c r="K62" s="495">
        <f t="shared" si="3"/>
        <v>3.9968826541972868E-2</v>
      </c>
      <c r="L62" s="495">
        <f t="shared" si="4"/>
        <v>3.9953379953379997E-2</v>
      </c>
      <c r="M62" s="495">
        <f t="shared" si="5"/>
        <v>3.9968826541972868E-2</v>
      </c>
      <c r="O62" s="484"/>
      <c r="Q62" s="484"/>
      <c r="R62" s="484"/>
      <c r="S62" s="484"/>
      <c r="T62" s="484"/>
      <c r="U62" s="484"/>
      <c r="V62" s="484"/>
    </row>
    <row r="63" spans="1:25">
      <c r="A63"/>
      <c r="B63"/>
      <c r="C63">
        <v>4</v>
      </c>
      <c r="D63">
        <v>96.62</v>
      </c>
      <c r="E63">
        <v>100.48</v>
      </c>
      <c r="F63">
        <v>220.46</v>
      </c>
      <c r="G63">
        <v>229.28</v>
      </c>
      <c r="H63">
        <v>96.62</v>
      </c>
      <c r="I63">
        <v>100.48</v>
      </c>
      <c r="J63" s="484"/>
      <c r="K63" s="495">
        <f t="shared" si="3"/>
        <v>3.9950320844545528E-2</v>
      </c>
      <c r="L63" s="495">
        <f t="shared" si="4"/>
        <v>4.0007257552390429E-2</v>
      </c>
      <c r="M63" s="495">
        <f t="shared" si="5"/>
        <v>3.9950320844545528E-2</v>
      </c>
      <c r="O63" s="484"/>
      <c r="Q63" s="484"/>
      <c r="R63" s="484"/>
      <c r="S63" s="484"/>
      <c r="T63" s="484"/>
      <c r="U63" s="484"/>
      <c r="V63" s="484"/>
      <c r="Y63" s="485"/>
    </row>
    <row r="64" spans="1:25">
      <c r="A64"/>
      <c r="B64"/>
      <c r="C64">
        <v>5</v>
      </c>
      <c r="D64">
        <v>102.59</v>
      </c>
      <c r="E64">
        <v>106.69</v>
      </c>
      <c r="F64">
        <v>225.72</v>
      </c>
      <c r="G64">
        <v>234.75</v>
      </c>
      <c r="H64">
        <v>102.59</v>
      </c>
      <c r="I64">
        <v>106.69</v>
      </c>
      <c r="J64" s="484"/>
      <c r="K64" s="495">
        <f t="shared" si="3"/>
        <v>3.9964908860512738E-2</v>
      </c>
      <c r="L64" s="495">
        <f t="shared" si="4"/>
        <v>4.0005316321105822E-2</v>
      </c>
      <c r="M64" s="495">
        <f t="shared" si="5"/>
        <v>3.9964908860512738E-2</v>
      </c>
      <c r="O64" s="484"/>
      <c r="P64" s="560"/>
      <c r="Q64" s="484"/>
      <c r="R64" s="484"/>
      <c r="S64" s="484"/>
      <c r="T64" s="484"/>
      <c r="U64" s="484"/>
      <c r="V64" s="484"/>
    </row>
    <row r="65" spans="1:25">
      <c r="A65" t="s">
        <v>18</v>
      </c>
      <c r="B65">
        <v>1</v>
      </c>
      <c r="C65">
        <v>1</v>
      </c>
      <c r="D65">
        <v>27.69</v>
      </c>
      <c r="E65">
        <v>28.8</v>
      </c>
      <c r="F65">
        <v>27.12</v>
      </c>
      <c r="G65">
        <v>28.2</v>
      </c>
      <c r="H65">
        <v>27.69</v>
      </c>
      <c r="I65">
        <v>28.8</v>
      </c>
      <c r="J65" s="484"/>
      <c r="K65" s="495">
        <f t="shared" si="3"/>
        <v>4.008667388949072E-2</v>
      </c>
      <c r="L65" s="495">
        <f t="shared" si="4"/>
        <v>3.9823008849557473E-2</v>
      </c>
      <c r="M65" s="495">
        <f t="shared" si="5"/>
        <v>4.008667388949072E-2</v>
      </c>
      <c r="O65" s="484"/>
      <c r="Q65" s="484"/>
      <c r="R65" s="484"/>
      <c r="S65" s="484"/>
      <c r="T65" s="484"/>
      <c r="U65" s="484"/>
      <c r="V65" s="484"/>
    </row>
    <row r="66" spans="1:25">
      <c r="A66"/>
      <c r="B66"/>
      <c r="C66">
        <v>2</v>
      </c>
      <c r="D66">
        <v>30.56</v>
      </c>
      <c r="E66">
        <v>31.78</v>
      </c>
      <c r="F66">
        <v>29.65</v>
      </c>
      <c r="G66">
        <v>30.84</v>
      </c>
      <c r="H66">
        <v>30.56</v>
      </c>
      <c r="I66">
        <v>31.78</v>
      </c>
      <c r="J66" s="484"/>
      <c r="K66" s="495">
        <f t="shared" si="3"/>
        <v>3.9921465968586478E-2</v>
      </c>
      <c r="L66" s="495">
        <f t="shared" si="4"/>
        <v>4.0134907251264895E-2</v>
      </c>
      <c r="M66" s="495">
        <f t="shared" si="5"/>
        <v>3.9921465968586478E-2</v>
      </c>
      <c r="O66" s="484"/>
      <c r="Q66" s="484"/>
      <c r="R66" s="484"/>
      <c r="S66" s="484"/>
      <c r="T66" s="484"/>
      <c r="U66" s="484"/>
      <c r="V66" s="484"/>
    </row>
    <row r="67" spans="1:25">
      <c r="A67"/>
      <c r="B67"/>
      <c r="C67">
        <v>3</v>
      </c>
      <c r="D67">
        <v>35.229999999999997</v>
      </c>
      <c r="E67">
        <v>36.64</v>
      </c>
      <c r="F67">
        <v>33.76</v>
      </c>
      <c r="G67">
        <v>35.11</v>
      </c>
      <c r="H67">
        <v>35.229999999999997</v>
      </c>
      <c r="I67">
        <v>36.64</v>
      </c>
      <c r="J67" s="484"/>
      <c r="K67" s="495">
        <f t="shared" si="3"/>
        <v>4.0022707919386891E-2</v>
      </c>
      <c r="L67" s="495">
        <f t="shared" si="4"/>
        <v>3.9988151658767901E-2</v>
      </c>
      <c r="M67" s="495">
        <f t="shared" si="5"/>
        <v>4.0022707919386891E-2</v>
      </c>
      <c r="O67" s="484"/>
      <c r="Q67" s="484"/>
      <c r="R67" s="484"/>
      <c r="S67" s="484"/>
      <c r="T67" s="484"/>
      <c r="U67" s="484"/>
      <c r="V67" s="484"/>
    </row>
    <row r="68" spans="1:25">
      <c r="A68"/>
      <c r="B68"/>
      <c r="C68">
        <v>4</v>
      </c>
      <c r="D68">
        <v>41.56</v>
      </c>
      <c r="E68">
        <v>43.22</v>
      </c>
      <c r="F68">
        <v>39.299999999999997</v>
      </c>
      <c r="G68">
        <v>40.869999999999997</v>
      </c>
      <c r="H68">
        <v>41.56</v>
      </c>
      <c r="I68">
        <v>43.22</v>
      </c>
      <c r="J68" s="484"/>
      <c r="K68" s="495">
        <f t="shared" si="3"/>
        <v>3.9942252165543701E-2</v>
      </c>
      <c r="L68" s="495">
        <f t="shared" si="4"/>
        <v>3.9949109414758377E-2</v>
      </c>
      <c r="M68" s="495">
        <f t="shared" si="5"/>
        <v>3.9942252165543701E-2</v>
      </c>
      <c r="O68" s="484"/>
      <c r="Q68" s="484"/>
      <c r="R68" s="484"/>
      <c r="S68" s="484"/>
      <c r="T68" s="484"/>
      <c r="U68" s="484"/>
      <c r="V68" s="484"/>
    </row>
    <row r="69" spans="1:25">
      <c r="A69"/>
      <c r="B69"/>
      <c r="C69">
        <v>5</v>
      </c>
      <c r="D69">
        <v>47.1</v>
      </c>
      <c r="E69">
        <v>48.98</v>
      </c>
      <c r="F69">
        <v>44.14</v>
      </c>
      <c r="G69">
        <v>45.91</v>
      </c>
      <c r="H69">
        <v>47.1</v>
      </c>
      <c r="I69">
        <v>48.98</v>
      </c>
      <c r="J69" s="484"/>
      <c r="K69" s="495">
        <f t="shared" si="3"/>
        <v>3.991507430997876E-2</v>
      </c>
      <c r="L69" s="495">
        <f t="shared" si="4"/>
        <v>4.0099682827367422E-2</v>
      </c>
      <c r="M69" s="495">
        <f t="shared" si="5"/>
        <v>3.991507430997876E-2</v>
      </c>
      <c r="O69" s="484"/>
      <c r="Q69" s="484"/>
      <c r="R69" s="484"/>
      <c r="S69" s="484"/>
      <c r="T69" s="484"/>
      <c r="U69" s="484"/>
      <c r="V69" s="484"/>
    </row>
    <row r="70" spans="1:25">
      <c r="A70"/>
      <c r="B70">
        <v>2</v>
      </c>
      <c r="C70">
        <v>1</v>
      </c>
      <c r="D70">
        <v>33.090000000000003</v>
      </c>
      <c r="E70">
        <v>34.409999999999997</v>
      </c>
      <c r="F70">
        <v>48.54</v>
      </c>
      <c r="G70">
        <v>50.48</v>
      </c>
      <c r="H70">
        <v>33.090000000000003</v>
      </c>
      <c r="I70">
        <v>34.409999999999997</v>
      </c>
      <c r="J70" s="484"/>
      <c r="K70" s="495">
        <f t="shared" si="3"/>
        <v>3.9891205802357055E-2</v>
      </c>
      <c r="L70" s="495">
        <f t="shared" si="4"/>
        <v>3.9967037494849533E-2</v>
      </c>
      <c r="M70" s="495">
        <f t="shared" si="5"/>
        <v>3.9891205802357055E-2</v>
      </c>
      <c r="O70" s="484"/>
      <c r="Q70" s="484"/>
      <c r="R70" s="484"/>
      <c r="S70" s="484"/>
      <c r="T70" s="484"/>
      <c r="U70" s="484"/>
      <c r="V70" s="484"/>
    </row>
    <row r="71" spans="1:25">
      <c r="A71"/>
      <c r="B71"/>
      <c r="C71">
        <v>2</v>
      </c>
      <c r="D71">
        <v>35.950000000000003</v>
      </c>
      <c r="E71">
        <v>37.39</v>
      </c>
      <c r="F71">
        <v>51.08</v>
      </c>
      <c r="G71">
        <v>53.12</v>
      </c>
      <c r="H71">
        <v>35.950000000000003</v>
      </c>
      <c r="I71">
        <v>37.39</v>
      </c>
      <c r="J71" s="484"/>
      <c r="K71" s="495">
        <f t="shared" si="3"/>
        <v>4.0055632823365661E-2</v>
      </c>
      <c r="L71" s="495">
        <f t="shared" si="4"/>
        <v>3.9937353171495715E-2</v>
      </c>
      <c r="M71" s="495">
        <f t="shared" si="5"/>
        <v>4.0055632823365661E-2</v>
      </c>
      <c r="O71" s="484"/>
      <c r="Q71" s="484"/>
      <c r="R71" s="484"/>
      <c r="S71" s="484"/>
      <c r="T71" s="484"/>
      <c r="U71" s="484"/>
      <c r="V71" s="484"/>
    </row>
    <row r="72" spans="1:25">
      <c r="A72"/>
      <c r="B72"/>
      <c r="C72">
        <v>3</v>
      </c>
      <c r="D72">
        <v>40.65</v>
      </c>
      <c r="E72">
        <v>42.28</v>
      </c>
      <c r="F72">
        <v>55.17</v>
      </c>
      <c r="G72">
        <v>57.38</v>
      </c>
      <c r="H72">
        <v>40.65</v>
      </c>
      <c r="I72">
        <v>42.28</v>
      </c>
      <c r="J72" s="484"/>
      <c r="K72" s="495">
        <f t="shared" si="3"/>
        <v>4.0098400984009963E-2</v>
      </c>
      <c r="L72" s="495">
        <f t="shared" si="4"/>
        <v>4.0058002537610937E-2</v>
      </c>
      <c r="M72" s="495">
        <f t="shared" si="5"/>
        <v>4.0098400984009963E-2</v>
      </c>
      <c r="O72" s="484"/>
      <c r="Q72" s="484"/>
      <c r="R72" s="484"/>
      <c r="S72" s="484"/>
      <c r="T72" s="484"/>
      <c r="U72" s="484"/>
      <c r="V72" s="484"/>
    </row>
    <row r="73" spans="1:25">
      <c r="A73"/>
      <c r="B73"/>
      <c r="C73">
        <v>4</v>
      </c>
      <c r="D73">
        <v>46.9</v>
      </c>
      <c r="E73">
        <v>48.78</v>
      </c>
      <c r="F73">
        <v>60.72</v>
      </c>
      <c r="G73">
        <v>63.15</v>
      </c>
      <c r="H73">
        <v>46.9</v>
      </c>
      <c r="I73">
        <v>48.78</v>
      </c>
      <c r="J73" s="484"/>
      <c r="K73" s="495">
        <f t="shared" si="3"/>
        <v>4.008528784648191E-2</v>
      </c>
      <c r="L73" s="495">
        <f t="shared" si="4"/>
        <v>4.0019762845849849E-2</v>
      </c>
      <c r="M73" s="495">
        <f t="shared" si="5"/>
        <v>4.008528784648191E-2</v>
      </c>
      <c r="O73" s="484"/>
      <c r="Q73" s="484"/>
      <c r="R73" s="484"/>
      <c r="S73" s="484"/>
      <c r="T73" s="484"/>
      <c r="U73" s="484"/>
      <c r="V73" s="484"/>
      <c r="Y73" s="485"/>
    </row>
    <row r="74" spans="1:25">
      <c r="A74"/>
      <c r="B74"/>
      <c r="C74">
        <v>5</v>
      </c>
      <c r="D74">
        <v>52.46</v>
      </c>
      <c r="E74">
        <v>54.56</v>
      </c>
      <c r="F74">
        <v>65.58</v>
      </c>
      <c r="G74">
        <v>68.2</v>
      </c>
      <c r="H74">
        <v>52.46</v>
      </c>
      <c r="I74">
        <v>54.56</v>
      </c>
      <c r="J74" s="484"/>
      <c r="K74" s="495">
        <f t="shared" si="3"/>
        <v>4.0030499428135746E-2</v>
      </c>
      <c r="L74" s="495">
        <f t="shared" si="4"/>
        <v>3.9951204635559678E-2</v>
      </c>
      <c r="M74" s="495">
        <f t="shared" si="5"/>
        <v>4.0030499428135746E-2</v>
      </c>
      <c r="O74" s="484"/>
      <c r="Q74" s="484"/>
      <c r="R74" s="484"/>
      <c r="S74" s="484"/>
      <c r="T74" s="484"/>
      <c r="U74" s="484"/>
      <c r="V74" s="484"/>
    </row>
    <row r="75" spans="1:25">
      <c r="A75"/>
      <c r="B75">
        <v>3</v>
      </c>
      <c r="C75">
        <v>1</v>
      </c>
      <c r="D75">
        <v>43.58</v>
      </c>
      <c r="E75">
        <v>45.32</v>
      </c>
      <c r="F75">
        <v>82.74</v>
      </c>
      <c r="G75">
        <v>86.05</v>
      </c>
      <c r="H75">
        <v>43.58</v>
      </c>
      <c r="I75">
        <v>45.32</v>
      </c>
      <c r="J75" s="484"/>
      <c r="K75" s="495">
        <f t="shared" si="3"/>
        <v>3.9926571821936818E-2</v>
      </c>
      <c r="L75" s="495">
        <f t="shared" si="4"/>
        <v>4.0004834421078161E-2</v>
      </c>
      <c r="M75" s="495">
        <f t="shared" si="5"/>
        <v>3.9926571821936818E-2</v>
      </c>
      <c r="O75" s="484"/>
      <c r="Q75" s="484"/>
      <c r="R75" s="484"/>
      <c r="S75" s="484"/>
      <c r="T75" s="484"/>
      <c r="U75" s="484"/>
      <c r="V75" s="484"/>
    </row>
    <row r="76" spans="1:25">
      <c r="A76"/>
      <c r="B76"/>
      <c r="C76">
        <v>2</v>
      </c>
      <c r="D76">
        <v>46.48</v>
      </c>
      <c r="E76">
        <v>48.34</v>
      </c>
      <c r="F76">
        <v>85.31</v>
      </c>
      <c r="G76">
        <v>88.72</v>
      </c>
      <c r="H76">
        <v>46.48</v>
      </c>
      <c r="I76">
        <v>48.34</v>
      </c>
      <c r="J76" s="484"/>
      <c r="K76" s="495">
        <f t="shared" si="3"/>
        <v>4.0017211703958777E-2</v>
      </c>
      <c r="L76" s="495">
        <f t="shared" si="4"/>
        <v>3.9971867307466935E-2</v>
      </c>
      <c r="M76" s="495">
        <f t="shared" si="5"/>
        <v>4.0017211703958777E-2</v>
      </c>
      <c r="O76" s="484"/>
      <c r="Q76" s="484"/>
      <c r="R76" s="484"/>
      <c r="S76" s="484"/>
      <c r="T76" s="484"/>
      <c r="U76" s="484"/>
      <c r="V76" s="484"/>
    </row>
    <row r="77" spans="1:25">
      <c r="A77"/>
      <c r="B77"/>
      <c r="C77">
        <v>3</v>
      </c>
      <c r="D77">
        <v>51.15</v>
      </c>
      <c r="E77">
        <v>53.2</v>
      </c>
      <c r="F77">
        <v>89.36</v>
      </c>
      <c r="G77">
        <v>92.93</v>
      </c>
      <c r="H77">
        <v>51.15</v>
      </c>
      <c r="I77">
        <v>53.2</v>
      </c>
      <c r="J77" s="484"/>
      <c r="K77" s="495">
        <f t="shared" si="3"/>
        <v>4.0078201368524136E-2</v>
      </c>
      <c r="L77" s="495">
        <f t="shared" si="4"/>
        <v>3.9950760966875665E-2</v>
      </c>
      <c r="M77" s="495">
        <f t="shared" si="5"/>
        <v>4.0078201368524136E-2</v>
      </c>
      <c r="O77" s="484"/>
      <c r="Q77" s="484"/>
      <c r="R77" s="484"/>
      <c r="S77" s="484"/>
      <c r="T77" s="484"/>
      <c r="U77" s="484"/>
      <c r="V77" s="484"/>
    </row>
    <row r="78" spans="1:25">
      <c r="A78"/>
      <c r="B78"/>
      <c r="C78">
        <v>4</v>
      </c>
      <c r="D78">
        <v>57.42</v>
      </c>
      <c r="E78">
        <v>59.72</v>
      </c>
      <c r="F78">
        <v>94.89</v>
      </c>
      <c r="G78">
        <v>98.69</v>
      </c>
      <c r="H78">
        <v>57.42</v>
      </c>
      <c r="I78">
        <v>59.72</v>
      </c>
      <c r="J78" s="484"/>
      <c r="K78" s="495">
        <f t="shared" si="3"/>
        <v>4.0055729710902099E-2</v>
      </c>
      <c r="L78" s="495">
        <f t="shared" si="4"/>
        <v>4.0046369480450927E-2</v>
      </c>
      <c r="M78" s="495">
        <f t="shared" si="5"/>
        <v>4.0055729710902099E-2</v>
      </c>
      <c r="O78" s="484"/>
      <c r="Q78" s="484"/>
      <c r="R78" s="484"/>
      <c r="S78" s="484"/>
      <c r="T78" s="484"/>
      <c r="U78" s="484"/>
      <c r="V78" s="484"/>
    </row>
    <row r="79" spans="1:25">
      <c r="A79"/>
      <c r="B79"/>
      <c r="C79">
        <v>5</v>
      </c>
      <c r="D79">
        <v>62.97</v>
      </c>
      <c r="E79">
        <v>65.489999999999995</v>
      </c>
      <c r="F79">
        <v>99.8</v>
      </c>
      <c r="G79">
        <v>103.79</v>
      </c>
      <c r="H79">
        <v>62.97</v>
      </c>
      <c r="I79">
        <v>65.489999999999995</v>
      </c>
      <c r="J79" s="484"/>
      <c r="K79" s="495">
        <f t="shared" si="3"/>
        <v>4.0019056693663568E-2</v>
      </c>
      <c r="L79" s="495">
        <f t="shared" ref="L79:L110" si="6">G79/F79-1</f>
        <v>3.9979959919839825E-2</v>
      </c>
      <c r="M79" s="495">
        <f t="shared" ref="M79:M110" si="7">I79/H79-1</f>
        <v>4.0019056693663568E-2</v>
      </c>
      <c r="O79" s="484"/>
      <c r="Q79" s="484"/>
      <c r="R79" s="484"/>
      <c r="S79" s="484"/>
      <c r="T79" s="484"/>
      <c r="U79" s="484"/>
      <c r="V79" s="484"/>
    </row>
    <row r="80" spans="1:25">
      <c r="A80"/>
      <c r="B80">
        <v>4</v>
      </c>
      <c r="C80">
        <v>1</v>
      </c>
      <c r="D80">
        <v>54.37</v>
      </c>
      <c r="E80">
        <v>56.54</v>
      </c>
      <c r="F80">
        <v>134.03</v>
      </c>
      <c r="G80">
        <v>139.38999999999999</v>
      </c>
      <c r="H80">
        <v>54.37</v>
      </c>
      <c r="I80">
        <v>56.54</v>
      </c>
      <c r="J80" s="484"/>
      <c r="K80" s="495">
        <f t="shared" ref="K80:K143" si="8">E80/D80-1</f>
        <v>3.9911716019863874E-2</v>
      </c>
      <c r="L80" s="495">
        <f t="shared" si="6"/>
        <v>3.9991046780571304E-2</v>
      </c>
      <c r="M80" s="495">
        <f t="shared" si="7"/>
        <v>3.9911716019863874E-2</v>
      </c>
      <c r="O80" s="484"/>
      <c r="Q80" s="484"/>
      <c r="R80" s="484"/>
      <c r="S80" s="484"/>
      <c r="T80" s="484"/>
      <c r="U80" s="484"/>
      <c r="V80" s="484"/>
    </row>
    <row r="81" spans="1:39">
      <c r="A81"/>
      <c r="B81"/>
      <c r="C81">
        <v>2</v>
      </c>
      <c r="D81">
        <v>57.27</v>
      </c>
      <c r="E81">
        <v>59.56</v>
      </c>
      <c r="F81">
        <v>136.58000000000001</v>
      </c>
      <c r="G81">
        <v>142.04</v>
      </c>
      <c r="H81">
        <v>57.27</v>
      </c>
      <c r="I81">
        <v>59.56</v>
      </c>
      <c r="J81" s="484"/>
      <c r="K81" s="495">
        <f t="shared" si="8"/>
        <v>3.9986031080845086E-2</v>
      </c>
      <c r="L81" s="495">
        <f t="shared" si="6"/>
        <v>3.9976570508126974E-2</v>
      </c>
      <c r="M81" s="495">
        <f t="shared" si="7"/>
        <v>3.9986031080845086E-2</v>
      </c>
      <c r="O81" s="484"/>
      <c r="P81" s="484"/>
      <c r="Q81" s="484"/>
      <c r="R81" s="484"/>
      <c r="S81" s="484"/>
      <c r="T81" s="484"/>
      <c r="U81" s="484"/>
      <c r="V81" s="484"/>
    </row>
    <row r="82" spans="1:39">
      <c r="A82"/>
      <c r="B82"/>
      <c r="C82">
        <v>3</v>
      </c>
      <c r="D82">
        <v>61.94</v>
      </c>
      <c r="E82">
        <v>64.42</v>
      </c>
      <c r="F82">
        <v>140.68</v>
      </c>
      <c r="G82">
        <v>146.31</v>
      </c>
      <c r="H82">
        <v>61.94</v>
      </c>
      <c r="I82">
        <v>64.42</v>
      </c>
      <c r="J82" s="484"/>
      <c r="K82" s="495">
        <f t="shared" si="8"/>
        <v>4.0038747174685252E-2</v>
      </c>
      <c r="L82" s="495">
        <f t="shared" si="6"/>
        <v>4.0019903326698802E-2</v>
      </c>
      <c r="M82" s="495">
        <f t="shared" si="7"/>
        <v>4.0038747174685252E-2</v>
      </c>
      <c r="O82" s="484"/>
      <c r="P82" s="484"/>
      <c r="Q82" s="484"/>
      <c r="R82" s="484"/>
      <c r="S82" s="484"/>
      <c r="T82" s="484"/>
      <c r="U82" s="484"/>
      <c r="V82" s="484"/>
    </row>
    <row r="83" spans="1:39">
      <c r="A83"/>
      <c r="B83"/>
      <c r="C83">
        <v>4</v>
      </c>
      <c r="D83">
        <v>68.25</v>
      </c>
      <c r="E83">
        <v>70.98</v>
      </c>
      <c r="F83">
        <v>146.22</v>
      </c>
      <c r="G83">
        <v>152.07</v>
      </c>
      <c r="H83">
        <v>68.25</v>
      </c>
      <c r="I83">
        <v>70.98</v>
      </c>
      <c r="J83" s="484"/>
      <c r="K83" s="495">
        <f t="shared" si="8"/>
        <v>4.0000000000000036E-2</v>
      </c>
      <c r="L83" s="495">
        <f t="shared" si="6"/>
        <v>4.0008206811653624E-2</v>
      </c>
      <c r="M83" s="495">
        <f t="shared" si="7"/>
        <v>4.0000000000000036E-2</v>
      </c>
      <c r="O83" s="484"/>
      <c r="Q83" s="484"/>
      <c r="R83" s="484"/>
      <c r="S83" s="484"/>
      <c r="T83" s="484"/>
      <c r="U83" s="484"/>
      <c r="V83" s="484"/>
    </row>
    <row r="84" spans="1:39">
      <c r="A84"/>
      <c r="B84"/>
      <c r="C84">
        <v>5</v>
      </c>
      <c r="D84">
        <v>73.77</v>
      </c>
      <c r="E84">
        <v>76.72</v>
      </c>
      <c r="F84">
        <v>151.08000000000001</v>
      </c>
      <c r="G84">
        <v>157.12</v>
      </c>
      <c r="H84">
        <v>73.77</v>
      </c>
      <c r="I84">
        <v>76.72</v>
      </c>
      <c r="J84" s="484"/>
      <c r="K84" s="495">
        <f t="shared" si="8"/>
        <v>3.9989155483258765E-2</v>
      </c>
      <c r="L84" s="495">
        <f t="shared" si="6"/>
        <v>3.9978819168652313E-2</v>
      </c>
      <c r="M84" s="495">
        <f t="shared" si="7"/>
        <v>3.9989155483258765E-2</v>
      </c>
      <c r="O84" s="484"/>
      <c r="Q84" s="484"/>
      <c r="R84" s="484"/>
      <c r="S84" s="484"/>
      <c r="T84" s="484"/>
      <c r="U84" s="484"/>
      <c r="V84" s="484"/>
    </row>
    <row r="85" spans="1:39">
      <c r="A85"/>
      <c r="B85">
        <v>5</v>
      </c>
      <c r="C85">
        <v>1</v>
      </c>
      <c r="D85">
        <v>75.709999999999994</v>
      </c>
      <c r="E85">
        <v>78.739999999999995</v>
      </c>
      <c r="F85">
        <v>192.2</v>
      </c>
      <c r="G85">
        <v>199.89</v>
      </c>
      <c r="H85">
        <v>75.709999999999994</v>
      </c>
      <c r="I85">
        <v>78.739999999999995</v>
      </c>
      <c r="J85" s="484"/>
      <c r="K85" s="495">
        <f t="shared" si="8"/>
        <v>4.0021133271694653E-2</v>
      </c>
      <c r="L85" s="495">
        <f t="shared" si="6"/>
        <v>4.0010405827263229E-2</v>
      </c>
      <c r="M85" s="495">
        <f t="shared" si="7"/>
        <v>4.0021133271694653E-2</v>
      </c>
      <c r="O85" s="484"/>
      <c r="Q85" s="484"/>
      <c r="R85" s="484"/>
      <c r="S85" s="484"/>
      <c r="T85" s="484"/>
      <c r="U85" s="484"/>
      <c r="V85" s="484"/>
    </row>
    <row r="86" spans="1:39">
      <c r="A86"/>
      <c r="B86"/>
      <c r="C86">
        <v>2</v>
      </c>
      <c r="D86">
        <v>78.59</v>
      </c>
      <c r="E86">
        <v>81.73</v>
      </c>
      <c r="F86">
        <v>194.71</v>
      </c>
      <c r="G86">
        <v>202.5</v>
      </c>
      <c r="H86">
        <v>78.59</v>
      </c>
      <c r="I86">
        <v>81.73</v>
      </c>
      <c r="J86" s="484"/>
      <c r="K86" s="495">
        <f t="shared" si="8"/>
        <v>3.9954192645374809E-2</v>
      </c>
      <c r="L86" s="495">
        <f t="shared" si="6"/>
        <v>4.0008217348877828E-2</v>
      </c>
      <c r="M86" s="495">
        <f t="shared" si="7"/>
        <v>3.9954192645374809E-2</v>
      </c>
      <c r="O86" s="484"/>
      <c r="Q86" s="484"/>
      <c r="R86" s="484"/>
      <c r="S86" s="484"/>
      <c r="T86" s="484"/>
      <c r="U86" s="484"/>
      <c r="V86" s="484"/>
    </row>
    <row r="87" spans="1:39">
      <c r="A87"/>
      <c r="B87"/>
      <c r="C87">
        <v>3</v>
      </c>
      <c r="D87">
        <v>83.25</v>
      </c>
      <c r="E87">
        <v>86.58</v>
      </c>
      <c r="F87">
        <v>198.81</v>
      </c>
      <c r="G87">
        <v>206.76</v>
      </c>
      <c r="H87">
        <v>83.25</v>
      </c>
      <c r="I87">
        <v>86.58</v>
      </c>
      <c r="J87" s="484"/>
      <c r="K87" s="495">
        <f t="shared" si="8"/>
        <v>4.0000000000000036E-2</v>
      </c>
      <c r="L87" s="495">
        <f t="shared" si="6"/>
        <v>3.9987928172626974E-2</v>
      </c>
      <c r="M87" s="495">
        <f t="shared" si="7"/>
        <v>4.0000000000000036E-2</v>
      </c>
      <c r="O87" s="484"/>
      <c r="Q87" s="484"/>
      <c r="R87" s="484"/>
      <c r="S87" s="484"/>
      <c r="T87" s="484"/>
      <c r="U87" s="484"/>
      <c r="V87" s="484"/>
    </row>
    <row r="88" spans="1:39">
      <c r="A88"/>
      <c r="B88"/>
      <c r="C88">
        <v>4</v>
      </c>
      <c r="D88">
        <v>89.55</v>
      </c>
      <c r="E88">
        <v>93.13</v>
      </c>
      <c r="F88">
        <v>204.34</v>
      </c>
      <c r="G88">
        <v>212.51</v>
      </c>
      <c r="H88">
        <v>89.55</v>
      </c>
      <c r="I88">
        <v>93.13</v>
      </c>
      <c r="J88" s="484"/>
      <c r="K88" s="495">
        <f t="shared" si="8"/>
        <v>3.9977666108319321E-2</v>
      </c>
      <c r="L88" s="495">
        <f t="shared" si="6"/>
        <v>3.9982382304003083E-2</v>
      </c>
      <c r="M88" s="495">
        <f t="shared" si="7"/>
        <v>3.9977666108319321E-2</v>
      </c>
      <c r="O88" s="484"/>
      <c r="Q88" s="484"/>
      <c r="R88" s="484"/>
      <c r="S88" s="484"/>
      <c r="T88" s="484"/>
      <c r="U88" s="484"/>
      <c r="V88" s="484"/>
    </row>
    <row r="89" spans="1:39">
      <c r="A89"/>
      <c r="B89"/>
      <c r="C89">
        <v>5</v>
      </c>
      <c r="D89">
        <v>95.09</v>
      </c>
      <c r="E89">
        <v>98.89</v>
      </c>
      <c r="F89">
        <v>209.21</v>
      </c>
      <c r="G89">
        <v>217.58</v>
      </c>
      <c r="H89">
        <v>95.09</v>
      </c>
      <c r="I89">
        <v>98.89</v>
      </c>
      <c r="J89" s="484"/>
      <c r="K89" s="495">
        <f t="shared" si="8"/>
        <v>3.9962141129456175E-2</v>
      </c>
      <c r="L89" s="495">
        <f t="shared" si="6"/>
        <v>4.000764781798205E-2</v>
      </c>
      <c r="M89" s="495">
        <f t="shared" si="7"/>
        <v>3.9962141129456175E-2</v>
      </c>
      <c r="O89" s="484"/>
      <c r="Q89" s="484"/>
      <c r="R89" s="484"/>
      <c r="S89" s="484"/>
      <c r="T89" s="484"/>
      <c r="U89" s="484"/>
      <c r="V89" s="484"/>
    </row>
    <row r="90" spans="1:39" ht="15" customHeight="1">
      <c r="A90" t="s">
        <v>19</v>
      </c>
      <c r="B90">
        <v>1</v>
      </c>
      <c r="C90">
        <v>1</v>
      </c>
      <c r="D90">
        <v>27.69</v>
      </c>
      <c r="E90">
        <v>28.8</v>
      </c>
      <c r="F90">
        <v>27.12</v>
      </c>
      <c r="G90">
        <v>28.2</v>
      </c>
      <c r="H90">
        <v>27.69</v>
      </c>
      <c r="I90">
        <v>28.8</v>
      </c>
      <c r="J90" s="484"/>
      <c r="K90" s="495">
        <f t="shared" si="8"/>
        <v>4.008667388949072E-2</v>
      </c>
      <c r="L90" s="495">
        <f t="shared" si="6"/>
        <v>3.9823008849557473E-2</v>
      </c>
      <c r="M90" s="495">
        <f t="shared" si="7"/>
        <v>4.008667388949072E-2</v>
      </c>
      <c r="O90" s="484"/>
      <c r="Q90" s="484"/>
      <c r="R90" s="484"/>
      <c r="S90" s="484"/>
      <c r="T90" s="484"/>
      <c r="U90" s="484"/>
      <c r="V90" s="484"/>
      <c r="Y90" s="481"/>
      <c r="Z90" s="481"/>
      <c r="AA90" s="481"/>
      <c r="AB90" s="481"/>
      <c r="AC90" s="481"/>
      <c r="AD90" s="481"/>
      <c r="AE90" s="481"/>
      <c r="AF90" s="481"/>
      <c r="AG90" s="481"/>
      <c r="AH90" s="481"/>
      <c r="AI90" s="481"/>
      <c r="AJ90" s="481"/>
      <c r="AK90" s="481"/>
      <c r="AL90" s="481"/>
      <c r="AM90" s="481"/>
    </row>
    <row r="91" spans="1:39">
      <c r="A91"/>
      <c r="B91"/>
      <c r="C91">
        <v>2</v>
      </c>
      <c r="D91">
        <v>30.56</v>
      </c>
      <c r="E91">
        <v>31.78</v>
      </c>
      <c r="F91">
        <v>29.65</v>
      </c>
      <c r="G91">
        <v>30.84</v>
      </c>
      <c r="H91">
        <v>30.56</v>
      </c>
      <c r="I91">
        <v>31.78</v>
      </c>
      <c r="J91" s="484"/>
      <c r="K91" s="495">
        <f t="shared" si="8"/>
        <v>3.9921465968586478E-2</v>
      </c>
      <c r="L91" s="495">
        <f t="shared" si="6"/>
        <v>4.0134907251264895E-2</v>
      </c>
      <c r="M91" s="495">
        <f t="shared" si="7"/>
        <v>3.9921465968586478E-2</v>
      </c>
      <c r="O91" s="484"/>
      <c r="Q91" s="484"/>
      <c r="R91" s="484"/>
      <c r="S91" s="484"/>
      <c r="T91" s="484"/>
      <c r="U91" s="484"/>
      <c r="V91" s="484"/>
      <c r="Y91" s="481"/>
      <c r="Z91" s="481"/>
      <c r="AA91" s="481"/>
      <c r="AB91" s="481"/>
      <c r="AC91" s="481"/>
      <c r="AD91" s="481"/>
      <c r="AE91" s="481"/>
      <c r="AF91" s="481"/>
      <c r="AG91" s="481"/>
      <c r="AH91" s="481"/>
      <c r="AI91" s="481"/>
      <c r="AJ91" s="481"/>
      <c r="AK91" s="481"/>
      <c r="AL91" s="481"/>
      <c r="AM91" s="481"/>
    </row>
    <row r="92" spans="1:39">
      <c r="A92"/>
      <c r="B92"/>
      <c r="C92">
        <v>3</v>
      </c>
      <c r="D92">
        <v>35.229999999999997</v>
      </c>
      <c r="E92">
        <v>36.64</v>
      </c>
      <c r="F92">
        <v>33.76</v>
      </c>
      <c r="G92">
        <v>35.11</v>
      </c>
      <c r="H92">
        <v>35.229999999999997</v>
      </c>
      <c r="I92">
        <v>36.64</v>
      </c>
      <c r="J92" s="484"/>
      <c r="K92" s="495">
        <f t="shared" si="8"/>
        <v>4.0022707919386891E-2</v>
      </c>
      <c r="L92" s="495">
        <f t="shared" si="6"/>
        <v>3.9988151658767901E-2</v>
      </c>
      <c r="M92" s="495">
        <f t="shared" si="7"/>
        <v>4.0022707919386891E-2</v>
      </c>
      <c r="O92" s="484"/>
      <c r="Q92" s="484"/>
      <c r="R92" s="484"/>
      <c r="S92" s="484"/>
      <c r="T92" s="484"/>
      <c r="U92" s="484"/>
      <c r="V92" s="484"/>
    </row>
    <row r="93" spans="1:39">
      <c r="A93"/>
      <c r="B93"/>
      <c r="C93">
        <v>4</v>
      </c>
      <c r="D93">
        <v>41.56</v>
      </c>
      <c r="E93">
        <v>43.22</v>
      </c>
      <c r="F93">
        <v>39.299999999999997</v>
      </c>
      <c r="G93">
        <v>40.869999999999997</v>
      </c>
      <c r="H93">
        <v>41.56</v>
      </c>
      <c r="I93">
        <v>43.22</v>
      </c>
      <c r="J93" s="484"/>
      <c r="K93" s="495">
        <f t="shared" si="8"/>
        <v>3.9942252165543701E-2</v>
      </c>
      <c r="L93" s="495">
        <f t="shared" si="6"/>
        <v>3.9949109414758377E-2</v>
      </c>
      <c r="M93" s="495">
        <f t="shared" si="7"/>
        <v>3.9942252165543701E-2</v>
      </c>
      <c r="O93" s="484"/>
      <c r="Q93" s="484"/>
      <c r="R93" s="484"/>
      <c r="S93" s="484"/>
      <c r="T93" s="484"/>
      <c r="U93" s="484"/>
      <c r="V93" s="484"/>
    </row>
    <row r="94" spans="1:39">
      <c r="A94"/>
      <c r="B94"/>
      <c r="C94">
        <v>5</v>
      </c>
      <c r="D94">
        <v>47.1</v>
      </c>
      <c r="E94">
        <v>48.98</v>
      </c>
      <c r="F94">
        <v>44.14</v>
      </c>
      <c r="G94">
        <v>45.91</v>
      </c>
      <c r="H94">
        <v>47.1</v>
      </c>
      <c r="I94">
        <v>48.98</v>
      </c>
      <c r="J94" s="484"/>
      <c r="K94" s="495">
        <f t="shared" si="8"/>
        <v>3.991507430997876E-2</v>
      </c>
      <c r="L94" s="495">
        <f t="shared" si="6"/>
        <v>4.0099682827367422E-2</v>
      </c>
      <c r="M94" s="495">
        <f t="shared" si="7"/>
        <v>3.991507430997876E-2</v>
      </c>
      <c r="O94" s="484"/>
      <c r="Q94" s="484"/>
      <c r="R94" s="484"/>
      <c r="S94" s="484"/>
      <c r="T94" s="484"/>
      <c r="U94" s="484"/>
      <c r="V94" s="484"/>
    </row>
    <row r="95" spans="1:39">
      <c r="A95"/>
      <c r="B95">
        <v>2</v>
      </c>
      <c r="C95">
        <v>1</v>
      </c>
      <c r="D95">
        <v>33.090000000000003</v>
      </c>
      <c r="E95">
        <v>34.409999999999997</v>
      </c>
      <c r="F95">
        <v>48.54</v>
      </c>
      <c r="G95">
        <v>50.48</v>
      </c>
      <c r="H95">
        <v>33.090000000000003</v>
      </c>
      <c r="I95">
        <v>34.409999999999997</v>
      </c>
      <c r="J95" s="484"/>
      <c r="K95" s="495">
        <f t="shared" si="8"/>
        <v>3.9891205802357055E-2</v>
      </c>
      <c r="L95" s="495">
        <f t="shared" si="6"/>
        <v>3.9967037494849533E-2</v>
      </c>
      <c r="M95" s="495">
        <f t="shared" si="7"/>
        <v>3.9891205802357055E-2</v>
      </c>
      <c r="O95" s="484"/>
      <c r="Q95" s="484"/>
      <c r="R95" s="484"/>
      <c r="S95" s="484"/>
      <c r="T95" s="484"/>
      <c r="U95" s="484"/>
      <c r="V95" s="484"/>
    </row>
    <row r="96" spans="1:39">
      <c r="A96"/>
      <c r="B96"/>
      <c r="C96">
        <v>2</v>
      </c>
      <c r="D96">
        <v>35.950000000000003</v>
      </c>
      <c r="E96">
        <v>37.39</v>
      </c>
      <c r="F96">
        <v>51.08</v>
      </c>
      <c r="G96">
        <v>53.12</v>
      </c>
      <c r="H96">
        <v>35.950000000000003</v>
      </c>
      <c r="I96">
        <v>37.39</v>
      </c>
      <c r="J96" s="484"/>
      <c r="K96" s="495">
        <f t="shared" si="8"/>
        <v>4.0055632823365661E-2</v>
      </c>
      <c r="L96" s="495">
        <f t="shared" si="6"/>
        <v>3.9937353171495715E-2</v>
      </c>
      <c r="M96" s="495">
        <f t="shared" si="7"/>
        <v>4.0055632823365661E-2</v>
      </c>
      <c r="O96" s="484"/>
      <c r="Q96" s="484"/>
      <c r="R96" s="484"/>
      <c r="S96" s="484"/>
      <c r="T96" s="484"/>
      <c r="U96" s="484"/>
      <c r="V96" s="484"/>
    </row>
    <row r="97" spans="1:22">
      <c r="A97"/>
      <c r="B97"/>
      <c r="C97">
        <v>3</v>
      </c>
      <c r="D97">
        <v>40.65</v>
      </c>
      <c r="E97">
        <v>42.28</v>
      </c>
      <c r="F97">
        <v>55.17</v>
      </c>
      <c r="G97">
        <v>57.38</v>
      </c>
      <c r="H97">
        <v>40.65</v>
      </c>
      <c r="I97">
        <v>42.28</v>
      </c>
      <c r="J97" s="484"/>
      <c r="K97" s="495">
        <f t="shared" si="8"/>
        <v>4.0098400984009963E-2</v>
      </c>
      <c r="L97" s="495">
        <f t="shared" si="6"/>
        <v>4.0058002537610937E-2</v>
      </c>
      <c r="M97" s="495">
        <f t="shared" si="7"/>
        <v>4.0098400984009963E-2</v>
      </c>
      <c r="O97" s="484"/>
      <c r="Q97" s="484"/>
      <c r="R97" s="484"/>
      <c r="S97" s="484"/>
      <c r="T97" s="484"/>
      <c r="U97" s="484"/>
      <c r="V97" s="484"/>
    </row>
    <row r="98" spans="1:22">
      <c r="A98"/>
      <c r="B98"/>
      <c r="C98">
        <v>4</v>
      </c>
      <c r="D98">
        <v>46.9</v>
      </c>
      <c r="E98">
        <v>48.78</v>
      </c>
      <c r="F98">
        <v>60.72</v>
      </c>
      <c r="G98">
        <v>63.15</v>
      </c>
      <c r="H98">
        <v>46.9</v>
      </c>
      <c r="I98">
        <v>48.78</v>
      </c>
      <c r="J98" s="484"/>
      <c r="K98" s="495">
        <f t="shared" si="8"/>
        <v>4.008528784648191E-2</v>
      </c>
      <c r="L98" s="495">
        <f t="shared" si="6"/>
        <v>4.0019762845849849E-2</v>
      </c>
      <c r="M98" s="495">
        <f t="shared" si="7"/>
        <v>4.008528784648191E-2</v>
      </c>
      <c r="O98" s="484"/>
      <c r="Q98" s="484"/>
      <c r="R98" s="484"/>
      <c r="S98" s="484"/>
      <c r="T98" s="484"/>
      <c r="U98" s="484"/>
      <c r="V98" s="484"/>
    </row>
    <row r="99" spans="1:22">
      <c r="A99"/>
      <c r="B99"/>
      <c r="C99">
        <v>5</v>
      </c>
      <c r="D99">
        <v>52.46</v>
      </c>
      <c r="E99">
        <v>54.56</v>
      </c>
      <c r="F99">
        <v>65.58</v>
      </c>
      <c r="G99">
        <v>68.2</v>
      </c>
      <c r="H99">
        <v>52.46</v>
      </c>
      <c r="I99">
        <v>54.56</v>
      </c>
      <c r="J99" s="484"/>
      <c r="K99" s="495">
        <f t="shared" si="8"/>
        <v>4.0030499428135746E-2</v>
      </c>
      <c r="L99" s="495">
        <f t="shared" si="6"/>
        <v>3.9951204635559678E-2</v>
      </c>
      <c r="M99" s="495">
        <f t="shared" si="7"/>
        <v>4.0030499428135746E-2</v>
      </c>
      <c r="O99" s="484"/>
      <c r="Q99" s="484"/>
      <c r="R99" s="484"/>
      <c r="S99" s="484"/>
      <c r="T99" s="484"/>
      <c r="U99" s="484"/>
      <c r="V99" s="484"/>
    </row>
    <row r="100" spans="1:22">
      <c r="A100"/>
      <c r="B100">
        <v>3</v>
      </c>
      <c r="C100">
        <v>1</v>
      </c>
      <c r="D100">
        <v>43.58</v>
      </c>
      <c r="E100">
        <v>45.32</v>
      </c>
      <c r="F100">
        <v>82.74</v>
      </c>
      <c r="G100">
        <v>86.05</v>
      </c>
      <c r="H100">
        <v>43.58</v>
      </c>
      <c r="I100">
        <v>45.32</v>
      </c>
      <c r="J100" s="484"/>
      <c r="K100" s="495">
        <f t="shared" si="8"/>
        <v>3.9926571821936818E-2</v>
      </c>
      <c r="L100" s="495">
        <f t="shared" si="6"/>
        <v>4.0004834421078161E-2</v>
      </c>
      <c r="M100" s="495">
        <f t="shared" si="7"/>
        <v>3.9926571821936818E-2</v>
      </c>
      <c r="O100" s="484"/>
      <c r="Q100" s="484"/>
      <c r="R100" s="484"/>
      <c r="S100" s="484"/>
      <c r="T100" s="484"/>
      <c r="U100" s="484"/>
      <c r="V100" s="484"/>
    </row>
    <row r="101" spans="1:22">
      <c r="A101"/>
      <c r="B101"/>
      <c r="C101">
        <v>2</v>
      </c>
      <c r="D101">
        <v>46.48</v>
      </c>
      <c r="E101">
        <v>48.34</v>
      </c>
      <c r="F101">
        <v>85.31</v>
      </c>
      <c r="G101">
        <v>88.72</v>
      </c>
      <c r="H101">
        <v>46.48</v>
      </c>
      <c r="I101">
        <v>48.34</v>
      </c>
      <c r="J101" s="484"/>
      <c r="K101" s="495">
        <f t="shared" si="8"/>
        <v>4.0017211703958777E-2</v>
      </c>
      <c r="L101" s="495">
        <f t="shared" si="6"/>
        <v>3.9971867307466935E-2</v>
      </c>
      <c r="M101" s="495">
        <f t="shared" si="7"/>
        <v>4.0017211703958777E-2</v>
      </c>
      <c r="O101" s="484"/>
      <c r="Q101" s="484"/>
      <c r="R101" s="484"/>
      <c r="S101" s="484"/>
      <c r="T101" s="484"/>
      <c r="U101" s="484"/>
      <c r="V101" s="484"/>
    </row>
    <row r="102" spans="1:22">
      <c r="A102"/>
      <c r="B102"/>
      <c r="C102">
        <v>3</v>
      </c>
      <c r="D102">
        <v>51.15</v>
      </c>
      <c r="E102">
        <v>53.2</v>
      </c>
      <c r="F102">
        <v>89.36</v>
      </c>
      <c r="G102">
        <v>92.93</v>
      </c>
      <c r="H102">
        <v>51.15</v>
      </c>
      <c r="I102">
        <v>53.2</v>
      </c>
      <c r="J102" s="484"/>
      <c r="K102" s="495">
        <f t="shared" si="8"/>
        <v>4.0078201368524136E-2</v>
      </c>
      <c r="L102" s="495">
        <f t="shared" si="6"/>
        <v>3.9950760966875665E-2</v>
      </c>
      <c r="M102" s="495">
        <f t="shared" si="7"/>
        <v>4.0078201368524136E-2</v>
      </c>
      <c r="O102" s="484"/>
      <c r="Q102" s="484"/>
      <c r="R102" s="484"/>
      <c r="S102" s="484"/>
      <c r="T102" s="484"/>
      <c r="U102" s="484"/>
      <c r="V102" s="484"/>
    </row>
    <row r="103" spans="1:22">
      <c r="A103"/>
      <c r="B103"/>
      <c r="C103">
        <v>4</v>
      </c>
      <c r="D103">
        <v>57.42</v>
      </c>
      <c r="E103">
        <v>59.72</v>
      </c>
      <c r="F103">
        <v>94.89</v>
      </c>
      <c r="G103">
        <v>98.69</v>
      </c>
      <c r="H103">
        <v>57.42</v>
      </c>
      <c r="I103">
        <v>59.72</v>
      </c>
      <c r="J103" s="484"/>
      <c r="K103" s="495">
        <f t="shared" si="8"/>
        <v>4.0055729710902099E-2</v>
      </c>
      <c r="L103" s="495">
        <f t="shared" si="6"/>
        <v>4.0046369480450927E-2</v>
      </c>
      <c r="M103" s="495">
        <f t="shared" si="7"/>
        <v>4.0055729710902099E-2</v>
      </c>
      <c r="O103" s="484"/>
      <c r="Q103" s="484"/>
      <c r="R103" s="484"/>
      <c r="S103" s="484"/>
      <c r="T103" s="484"/>
      <c r="U103" s="484"/>
      <c r="V103" s="484"/>
    </row>
    <row r="104" spans="1:22">
      <c r="A104"/>
      <c r="B104"/>
      <c r="C104">
        <v>5</v>
      </c>
      <c r="D104">
        <v>62.97</v>
      </c>
      <c r="E104">
        <v>65.489999999999995</v>
      </c>
      <c r="F104">
        <v>99.8</v>
      </c>
      <c r="G104">
        <v>103.79</v>
      </c>
      <c r="H104">
        <v>62.97</v>
      </c>
      <c r="I104">
        <v>65.489999999999995</v>
      </c>
      <c r="J104" s="484"/>
      <c r="K104" s="495">
        <f t="shared" si="8"/>
        <v>4.0019056693663568E-2</v>
      </c>
      <c r="L104" s="495">
        <f t="shared" si="6"/>
        <v>3.9979959919839825E-2</v>
      </c>
      <c r="M104" s="495">
        <f t="shared" si="7"/>
        <v>4.0019056693663568E-2</v>
      </c>
      <c r="O104" s="484"/>
      <c r="Q104" s="484"/>
      <c r="R104" s="484"/>
      <c r="S104" s="484"/>
      <c r="T104" s="484"/>
      <c r="U104" s="484"/>
      <c r="V104" s="484"/>
    </row>
    <row r="105" spans="1:22">
      <c r="A105"/>
      <c r="B105">
        <v>4</v>
      </c>
      <c r="C105">
        <v>1</v>
      </c>
      <c r="D105">
        <v>54.37</v>
      </c>
      <c r="E105">
        <v>56.54</v>
      </c>
      <c r="F105">
        <v>134.03</v>
      </c>
      <c r="G105">
        <v>139.38999999999999</v>
      </c>
      <c r="H105">
        <v>54.37</v>
      </c>
      <c r="I105">
        <v>56.54</v>
      </c>
      <c r="J105" s="484"/>
      <c r="K105" s="495">
        <f t="shared" si="8"/>
        <v>3.9911716019863874E-2</v>
      </c>
      <c r="L105" s="495">
        <f t="shared" si="6"/>
        <v>3.9991046780571304E-2</v>
      </c>
      <c r="M105" s="495">
        <f t="shared" si="7"/>
        <v>3.9911716019863874E-2</v>
      </c>
      <c r="O105" s="484"/>
      <c r="Q105" s="484"/>
      <c r="R105" s="484"/>
      <c r="S105" s="484"/>
      <c r="T105" s="484"/>
      <c r="U105" s="484"/>
      <c r="V105" s="484"/>
    </row>
    <row r="106" spans="1:22">
      <c r="A106"/>
      <c r="B106"/>
      <c r="C106">
        <v>2</v>
      </c>
      <c r="D106">
        <v>57.27</v>
      </c>
      <c r="E106">
        <v>59.56</v>
      </c>
      <c r="F106">
        <v>136.58000000000001</v>
      </c>
      <c r="G106">
        <v>142.04</v>
      </c>
      <c r="H106">
        <v>57.27</v>
      </c>
      <c r="I106">
        <v>59.56</v>
      </c>
      <c r="J106" s="484"/>
      <c r="K106" s="495">
        <f t="shared" si="8"/>
        <v>3.9986031080845086E-2</v>
      </c>
      <c r="L106" s="495">
        <f t="shared" si="6"/>
        <v>3.9976570508126974E-2</v>
      </c>
      <c r="M106" s="495">
        <f t="shared" si="7"/>
        <v>3.9986031080845086E-2</v>
      </c>
      <c r="O106" s="484"/>
      <c r="Q106" s="484"/>
      <c r="R106" s="484"/>
      <c r="S106" s="484"/>
      <c r="T106" s="484"/>
      <c r="U106" s="484"/>
      <c r="V106" s="484"/>
    </row>
    <row r="107" spans="1:22">
      <c r="A107"/>
      <c r="B107"/>
      <c r="C107">
        <v>3</v>
      </c>
      <c r="D107">
        <v>61.94</v>
      </c>
      <c r="E107">
        <v>64.42</v>
      </c>
      <c r="F107">
        <v>140.68</v>
      </c>
      <c r="G107">
        <v>146.31</v>
      </c>
      <c r="H107">
        <v>61.94</v>
      </c>
      <c r="I107">
        <v>64.42</v>
      </c>
      <c r="J107" s="484"/>
      <c r="K107" s="495">
        <f t="shared" si="8"/>
        <v>4.0038747174685252E-2</v>
      </c>
      <c r="L107" s="495">
        <f t="shared" si="6"/>
        <v>4.0019903326698802E-2</v>
      </c>
      <c r="M107" s="495">
        <f t="shared" si="7"/>
        <v>4.0038747174685252E-2</v>
      </c>
      <c r="O107" s="484"/>
      <c r="Q107" s="484"/>
      <c r="R107" s="484"/>
      <c r="S107" s="484"/>
      <c r="T107" s="484"/>
      <c r="U107" s="484"/>
      <c r="V107" s="484"/>
    </row>
    <row r="108" spans="1:22">
      <c r="A108"/>
      <c r="B108"/>
      <c r="C108">
        <v>4</v>
      </c>
      <c r="D108">
        <v>68.25</v>
      </c>
      <c r="E108">
        <v>70.98</v>
      </c>
      <c r="F108">
        <v>146.22</v>
      </c>
      <c r="G108">
        <v>152.07</v>
      </c>
      <c r="H108">
        <v>68.25</v>
      </c>
      <c r="I108">
        <v>70.98</v>
      </c>
      <c r="J108" s="484"/>
      <c r="K108" s="495">
        <f t="shared" si="8"/>
        <v>4.0000000000000036E-2</v>
      </c>
      <c r="L108" s="495">
        <f t="shared" si="6"/>
        <v>4.0008206811653624E-2</v>
      </c>
      <c r="M108" s="495">
        <f t="shared" si="7"/>
        <v>4.0000000000000036E-2</v>
      </c>
      <c r="O108" s="484"/>
      <c r="Q108" s="484"/>
      <c r="R108" s="484"/>
      <c r="S108" s="484"/>
      <c r="T108" s="484"/>
      <c r="U108" s="484"/>
      <c r="V108" s="484"/>
    </row>
    <row r="109" spans="1:22">
      <c r="A109"/>
      <c r="B109"/>
      <c r="C109">
        <v>5</v>
      </c>
      <c r="D109">
        <v>73.77</v>
      </c>
      <c r="E109">
        <v>76.72</v>
      </c>
      <c r="F109">
        <v>151.08000000000001</v>
      </c>
      <c r="G109">
        <v>157.12</v>
      </c>
      <c r="H109">
        <v>73.77</v>
      </c>
      <c r="I109">
        <v>76.72</v>
      </c>
      <c r="J109" s="484"/>
      <c r="K109" s="495">
        <f t="shared" si="8"/>
        <v>3.9989155483258765E-2</v>
      </c>
      <c r="L109" s="495">
        <f t="shared" si="6"/>
        <v>3.9978819168652313E-2</v>
      </c>
      <c r="M109" s="495">
        <f t="shared" si="7"/>
        <v>3.9989155483258765E-2</v>
      </c>
      <c r="O109" s="484"/>
      <c r="Q109" s="484"/>
      <c r="R109" s="484"/>
      <c r="S109" s="484"/>
      <c r="T109" s="484"/>
      <c r="U109" s="484"/>
      <c r="V109" s="484"/>
    </row>
    <row r="110" spans="1:22">
      <c r="A110"/>
      <c r="B110">
        <v>5</v>
      </c>
      <c r="C110">
        <v>1</v>
      </c>
      <c r="D110">
        <v>75.709999999999994</v>
      </c>
      <c r="E110">
        <v>78.739999999999995</v>
      </c>
      <c r="F110">
        <v>192.2</v>
      </c>
      <c r="G110">
        <v>199.89</v>
      </c>
      <c r="H110">
        <v>75.709999999999994</v>
      </c>
      <c r="I110">
        <v>78.739999999999995</v>
      </c>
      <c r="J110" s="484"/>
      <c r="K110" s="495">
        <f t="shared" si="8"/>
        <v>4.0021133271694653E-2</v>
      </c>
      <c r="L110" s="495">
        <f t="shared" si="6"/>
        <v>4.0010405827263229E-2</v>
      </c>
      <c r="M110" s="495">
        <f t="shared" si="7"/>
        <v>4.0021133271694653E-2</v>
      </c>
      <c r="O110" s="484"/>
      <c r="Q110" s="484"/>
      <c r="R110" s="484"/>
      <c r="S110" s="484"/>
      <c r="T110" s="484"/>
      <c r="U110" s="484"/>
      <c r="V110" s="484"/>
    </row>
    <row r="111" spans="1:22">
      <c r="A111"/>
      <c r="B111"/>
      <c r="C111">
        <v>2</v>
      </c>
      <c r="D111">
        <v>78.59</v>
      </c>
      <c r="E111">
        <v>81.73</v>
      </c>
      <c r="F111">
        <v>194.71</v>
      </c>
      <c r="G111">
        <v>202.5</v>
      </c>
      <c r="H111">
        <v>78.59</v>
      </c>
      <c r="I111">
        <v>81.73</v>
      </c>
      <c r="J111" s="484"/>
      <c r="K111" s="495">
        <f t="shared" si="8"/>
        <v>3.9954192645374809E-2</v>
      </c>
      <c r="L111" s="495">
        <f t="shared" ref="L111:L142" si="9">G111/F111-1</f>
        <v>4.0008217348877828E-2</v>
      </c>
      <c r="M111" s="495">
        <f t="shared" ref="M111:M142" si="10">I111/H111-1</f>
        <v>3.9954192645374809E-2</v>
      </c>
      <c r="O111" s="484"/>
      <c r="Q111" s="484"/>
      <c r="R111" s="484"/>
      <c r="S111" s="484"/>
      <c r="T111" s="484"/>
      <c r="U111" s="484"/>
      <c r="V111" s="484"/>
    </row>
    <row r="112" spans="1:22">
      <c r="A112"/>
      <c r="B112"/>
      <c r="C112">
        <v>3</v>
      </c>
      <c r="D112">
        <v>83.25</v>
      </c>
      <c r="E112">
        <v>86.58</v>
      </c>
      <c r="F112">
        <v>198.81</v>
      </c>
      <c r="G112">
        <v>206.76</v>
      </c>
      <c r="H112">
        <v>83.25</v>
      </c>
      <c r="I112">
        <v>86.58</v>
      </c>
      <c r="J112" s="484"/>
      <c r="K112" s="495">
        <f t="shared" si="8"/>
        <v>4.0000000000000036E-2</v>
      </c>
      <c r="L112" s="495">
        <f t="shared" si="9"/>
        <v>3.9987928172626974E-2</v>
      </c>
      <c r="M112" s="495">
        <f t="shared" si="10"/>
        <v>4.0000000000000036E-2</v>
      </c>
      <c r="O112" s="484"/>
      <c r="Q112" s="484"/>
      <c r="R112" s="484"/>
      <c r="S112" s="484"/>
      <c r="T112" s="484"/>
      <c r="U112" s="484"/>
      <c r="V112" s="484"/>
    </row>
    <row r="113" spans="1:22">
      <c r="A113"/>
      <c r="B113"/>
      <c r="C113">
        <v>4</v>
      </c>
      <c r="D113">
        <v>89.55</v>
      </c>
      <c r="E113">
        <v>93.13</v>
      </c>
      <c r="F113">
        <v>204.34</v>
      </c>
      <c r="G113">
        <v>212.51</v>
      </c>
      <c r="H113">
        <v>89.55</v>
      </c>
      <c r="I113">
        <v>93.13</v>
      </c>
      <c r="J113" s="484"/>
      <c r="K113" s="495">
        <f t="shared" si="8"/>
        <v>3.9977666108319321E-2</v>
      </c>
      <c r="L113" s="495">
        <f t="shared" si="9"/>
        <v>3.9982382304003083E-2</v>
      </c>
      <c r="M113" s="495">
        <f t="shared" si="10"/>
        <v>3.9977666108319321E-2</v>
      </c>
      <c r="O113" s="484"/>
      <c r="Q113" s="484"/>
      <c r="R113" s="484"/>
      <c r="S113" s="484"/>
      <c r="T113" s="484"/>
      <c r="U113" s="484"/>
      <c r="V113" s="484"/>
    </row>
    <row r="114" spans="1:22">
      <c r="A114"/>
      <c r="B114"/>
      <c r="C114">
        <v>5</v>
      </c>
      <c r="D114">
        <v>95.09</v>
      </c>
      <c r="E114">
        <v>98.89</v>
      </c>
      <c r="F114">
        <v>209.21</v>
      </c>
      <c r="G114">
        <v>217.58</v>
      </c>
      <c r="H114">
        <v>95.09</v>
      </c>
      <c r="I114">
        <v>98.89</v>
      </c>
      <c r="J114" s="484"/>
      <c r="K114" s="495">
        <f t="shared" si="8"/>
        <v>3.9962141129456175E-2</v>
      </c>
      <c r="L114" s="495">
        <f t="shared" si="9"/>
        <v>4.000764781798205E-2</v>
      </c>
      <c r="M114" s="495">
        <f t="shared" si="10"/>
        <v>3.9962141129456175E-2</v>
      </c>
      <c r="O114" s="484"/>
      <c r="Q114" s="484"/>
      <c r="R114" s="484"/>
      <c r="S114" s="484"/>
      <c r="T114" s="484"/>
      <c r="U114" s="484"/>
      <c r="V114" s="484"/>
    </row>
    <row r="115" spans="1:22">
      <c r="A115" t="s">
        <v>20</v>
      </c>
      <c r="B115">
        <v>1</v>
      </c>
      <c r="C115">
        <v>1</v>
      </c>
      <c r="D115">
        <v>29.43</v>
      </c>
      <c r="E115">
        <v>30.61</v>
      </c>
      <c r="F115">
        <v>28.83</v>
      </c>
      <c r="G115">
        <v>29.97</v>
      </c>
      <c r="H115">
        <v>29.43</v>
      </c>
      <c r="I115">
        <v>30.61</v>
      </c>
      <c r="J115" s="484"/>
      <c r="K115" s="495">
        <f t="shared" si="8"/>
        <v>4.0095141012572277E-2</v>
      </c>
      <c r="L115" s="495">
        <f t="shared" si="9"/>
        <v>3.9542143600416191E-2</v>
      </c>
      <c r="M115" s="495">
        <f t="shared" si="10"/>
        <v>4.0095141012572277E-2</v>
      </c>
      <c r="O115" s="484"/>
      <c r="Q115" s="484"/>
      <c r="R115" s="484"/>
      <c r="S115" s="484"/>
      <c r="T115" s="484"/>
      <c r="U115" s="484"/>
      <c r="V115" s="484"/>
    </row>
    <row r="116" spans="1:22">
      <c r="A116"/>
      <c r="B116"/>
      <c r="C116">
        <v>2</v>
      </c>
      <c r="D116">
        <v>32.479999999999997</v>
      </c>
      <c r="E116">
        <v>33.78</v>
      </c>
      <c r="F116">
        <v>31.51</v>
      </c>
      <c r="G116">
        <v>32.78</v>
      </c>
      <c r="H116">
        <v>32.479999999999997</v>
      </c>
      <c r="I116">
        <v>33.78</v>
      </c>
      <c r="J116" s="484"/>
      <c r="K116" s="495">
        <f t="shared" si="8"/>
        <v>4.0024630541872108E-2</v>
      </c>
      <c r="L116" s="495">
        <f t="shared" si="9"/>
        <v>4.0304665185655342E-2</v>
      </c>
      <c r="M116" s="495">
        <f t="shared" si="10"/>
        <v>4.0024630541872108E-2</v>
      </c>
      <c r="O116" s="484"/>
      <c r="Q116" s="484"/>
      <c r="R116" s="484"/>
      <c r="S116" s="484"/>
      <c r="T116" s="484"/>
      <c r="U116" s="484"/>
      <c r="V116" s="484"/>
    </row>
    <row r="117" spans="1:22">
      <c r="A117"/>
      <c r="B117"/>
      <c r="C117">
        <v>3</v>
      </c>
      <c r="D117">
        <v>37.450000000000003</v>
      </c>
      <c r="E117">
        <v>38.94</v>
      </c>
      <c r="F117">
        <v>35.880000000000003</v>
      </c>
      <c r="G117">
        <v>37.32</v>
      </c>
      <c r="H117">
        <v>37.450000000000003</v>
      </c>
      <c r="I117">
        <v>38.94</v>
      </c>
      <c r="J117" s="484"/>
      <c r="K117" s="495">
        <f t="shared" si="8"/>
        <v>3.978638184245642E-2</v>
      </c>
      <c r="L117" s="495">
        <f t="shared" si="9"/>
        <v>4.013377926421402E-2</v>
      </c>
      <c r="M117" s="495">
        <f t="shared" si="10"/>
        <v>3.978638184245642E-2</v>
      </c>
      <c r="O117" s="484"/>
      <c r="Q117" s="484"/>
      <c r="R117" s="484"/>
      <c r="S117" s="484"/>
      <c r="T117" s="484"/>
      <c r="U117" s="484"/>
      <c r="V117" s="484"/>
    </row>
    <row r="118" spans="1:22">
      <c r="A118"/>
      <c r="B118"/>
      <c r="C118">
        <v>4</v>
      </c>
      <c r="D118">
        <v>44.17</v>
      </c>
      <c r="E118">
        <v>45.94</v>
      </c>
      <c r="F118">
        <v>41.77</v>
      </c>
      <c r="G118">
        <v>43.44</v>
      </c>
      <c r="H118">
        <v>44.17</v>
      </c>
      <c r="I118">
        <v>45.94</v>
      </c>
      <c r="J118" s="484"/>
      <c r="K118" s="495">
        <f t="shared" si="8"/>
        <v>4.0072447362463182E-2</v>
      </c>
      <c r="L118" s="495">
        <f t="shared" si="9"/>
        <v>3.9980847498204408E-2</v>
      </c>
      <c r="M118" s="495">
        <f t="shared" si="10"/>
        <v>4.0072447362463182E-2</v>
      </c>
      <c r="O118" s="484"/>
      <c r="Q118" s="484"/>
      <c r="R118" s="484"/>
      <c r="S118" s="484"/>
      <c r="T118" s="484"/>
      <c r="U118" s="484"/>
      <c r="V118" s="484"/>
    </row>
    <row r="119" spans="1:22">
      <c r="A119"/>
      <c r="B119"/>
      <c r="C119">
        <v>5</v>
      </c>
      <c r="D119">
        <v>50.06</v>
      </c>
      <c r="E119">
        <v>52.06</v>
      </c>
      <c r="F119">
        <v>46.92</v>
      </c>
      <c r="G119">
        <v>48.8</v>
      </c>
      <c r="H119">
        <v>50.06</v>
      </c>
      <c r="I119">
        <v>52.06</v>
      </c>
      <c r="J119" s="484"/>
      <c r="K119" s="495">
        <f t="shared" si="8"/>
        <v>3.995205753096287E-2</v>
      </c>
      <c r="L119" s="495">
        <f t="shared" si="9"/>
        <v>4.0068201193520725E-2</v>
      </c>
      <c r="M119" s="495">
        <f t="shared" si="10"/>
        <v>3.995205753096287E-2</v>
      </c>
      <c r="O119" s="484"/>
      <c r="Q119" s="484"/>
      <c r="R119" s="484"/>
      <c r="S119" s="484"/>
      <c r="T119" s="484"/>
      <c r="U119" s="484"/>
      <c r="V119" s="484"/>
    </row>
    <row r="120" spans="1:22">
      <c r="A120"/>
      <c r="B120">
        <v>2</v>
      </c>
      <c r="C120">
        <v>1</v>
      </c>
      <c r="D120">
        <v>35.17</v>
      </c>
      <c r="E120">
        <v>36.57</v>
      </c>
      <c r="F120">
        <v>51.59</v>
      </c>
      <c r="G120">
        <v>53.66</v>
      </c>
      <c r="H120">
        <v>35.17</v>
      </c>
      <c r="I120">
        <v>36.57</v>
      </c>
      <c r="J120" s="484"/>
      <c r="K120" s="495">
        <f t="shared" si="8"/>
        <v>3.980665339778211E-2</v>
      </c>
      <c r="L120" s="495">
        <f t="shared" si="9"/>
        <v>4.0124055049427954E-2</v>
      </c>
      <c r="M120" s="495">
        <f t="shared" si="10"/>
        <v>3.980665339778211E-2</v>
      </c>
      <c r="O120" s="484"/>
      <c r="Q120" s="484"/>
      <c r="R120" s="484"/>
      <c r="S120" s="484"/>
      <c r="T120" s="484"/>
      <c r="U120" s="484"/>
      <c r="V120" s="484"/>
    </row>
    <row r="121" spans="1:22">
      <c r="A121"/>
      <c r="B121"/>
      <c r="C121">
        <v>2</v>
      </c>
      <c r="D121">
        <v>38.21</v>
      </c>
      <c r="E121">
        <v>39.74</v>
      </c>
      <c r="F121">
        <v>54.29</v>
      </c>
      <c r="G121">
        <v>56.46</v>
      </c>
      <c r="H121">
        <v>38.21</v>
      </c>
      <c r="I121">
        <v>39.74</v>
      </c>
      <c r="J121" s="484"/>
      <c r="K121" s="495">
        <f t="shared" si="8"/>
        <v>4.00418738550119E-2</v>
      </c>
      <c r="L121" s="495">
        <f t="shared" si="9"/>
        <v>3.9970528642475633E-2</v>
      </c>
      <c r="M121" s="495">
        <f t="shared" si="10"/>
        <v>4.00418738550119E-2</v>
      </c>
      <c r="O121" s="484"/>
      <c r="Q121" s="484"/>
      <c r="R121" s="484"/>
      <c r="S121" s="484"/>
      <c r="T121" s="484"/>
      <c r="U121" s="484"/>
      <c r="V121" s="484"/>
    </row>
    <row r="122" spans="1:22">
      <c r="A122"/>
      <c r="B122"/>
      <c r="C122">
        <v>3</v>
      </c>
      <c r="D122">
        <v>43.21</v>
      </c>
      <c r="E122">
        <v>44.94</v>
      </c>
      <c r="F122">
        <v>58.64</v>
      </c>
      <c r="G122">
        <v>60.99</v>
      </c>
      <c r="H122">
        <v>43.21</v>
      </c>
      <c r="I122">
        <v>44.94</v>
      </c>
      <c r="J122" s="484"/>
      <c r="K122" s="495">
        <f t="shared" si="8"/>
        <v>4.003702846563284E-2</v>
      </c>
      <c r="L122" s="495">
        <f t="shared" si="9"/>
        <v>4.0075034106412E-2</v>
      </c>
      <c r="M122" s="495">
        <f t="shared" si="10"/>
        <v>4.003702846563284E-2</v>
      </c>
      <c r="O122" s="484"/>
      <c r="Q122" s="484"/>
      <c r="R122" s="484"/>
      <c r="S122" s="484"/>
      <c r="T122" s="484"/>
      <c r="U122" s="484"/>
      <c r="V122" s="484"/>
    </row>
    <row r="123" spans="1:22">
      <c r="A123"/>
      <c r="B123"/>
      <c r="C123">
        <v>4</v>
      </c>
      <c r="D123">
        <v>49.85</v>
      </c>
      <c r="E123">
        <v>51.85</v>
      </c>
      <c r="F123">
        <v>64.540000000000006</v>
      </c>
      <c r="G123">
        <v>67.12</v>
      </c>
      <c r="H123">
        <v>49.85</v>
      </c>
      <c r="I123">
        <v>51.85</v>
      </c>
      <c r="J123" s="484"/>
      <c r="K123" s="495">
        <f t="shared" si="8"/>
        <v>4.0120361083249678E-2</v>
      </c>
      <c r="L123" s="495">
        <f t="shared" si="9"/>
        <v>3.9975209172605997E-2</v>
      </c>
      <c r="M123" s="495">
        <f t="shared" si="10"/>
        <v>4.0120361083249678E-2</v>
      </c>
      <c r="O123" s="484"/>
      <c r="Q123" s="484"/>
      <c r="R123" s="484"/>
      <c r="S123" s="484"/>
      <c r="T123" s="484"/>
      <c r="U123" s="484"/>
      <c r="V123" s="484"/>
    </row>
    <row r="124" spans="1:22">
      <c r="A124"/>
      <c r="B124"/>
      <c r="C124">
        <v>5</v>
      </c>
      <c r="D124">
        <v>55.76</v>
      </c>
      <c r="E124">
        <v>57.99</v>
      </c>
      <c r="F124">
        <v>69.7</v>
      </c>
      <c r="G124">
        <v>72.489999999999995</v>
      </c>
      <c r="H124">
        <v>55.76</v>
      </c>
      <c r="I124">
        <v>57.99</v>
      </c>
      <c r="J124" s="484"/>
      <c r="K124" s="495">
        <f t="shared" si="8"/>
        <v>3.9992826398852266E-2</v>
      </c>
      <c r="L124" s="495">
        <f t="shared" si="9"/>
        <v>4.0028694404590892E-2</v>
      </c>
      <c r="M124" s="495">
        <f t="shared" si="10"/>
        <v>3.9992826398852266E-2</v>
      </c>
      <c r="O124" s="484"/>
      <c r="Q124" s="484"/>
      <c r="R124" s="484"/>
      <c r="S124" s="484"/>
      <c r="T124" s="484"/>
      <c r="U124" s="484"/>
      <c r="V124" s="484"/>
    </row>
    <row r="125" spans="1:22">
      <c r="A125"/>
      <c r="B125">
        <v>3</v>
      </c>
      <c r="C125">
        <v>1</v>
      </c>
      <c r="D125">
        <v>46.32</v>
      </c>
      <c r="E125">
        <v>48.17</v>
      </c>
      <c r="F125">
        <v>87.94</v>
      </c>
      <c r="G125">
        <v>91.46</v>
      </c>
      <c r="H125">
        <v>46.32</v>
      </c>
      <c r="I125">
        <v>48.17</v>
      </c>
      <c r="J125" s="484"/>
      <c r="K125" s="495">
        <f t="shared" si="8"/>
        <v>3.9939550949913638E-2</v>
      </c>
      <c r="L125" s="495">
        <f t="shared" si="9"/>
        <v>4.0027291335001047E-2</v>
      </c>
      <c r="M125" s="495">
        <f t="shared" si="10"/>
        <v>3.9939550949913638E-2</v>
      </c>
      <c r="O125" s="484"/>
      <c r="Q125" s="484"/>
      <c r="R125" s="484"/>
      <c r="S125" s="484"/>
      <c r="T125" s="484"/>
      <c r="U125" s="484"/>
      <c r="V125" s="484"/>
    </row>
    <row r="126" spans="1:22">
      <c r="A126"/>
      <c r="B126"/>
      <c r="C126">
        <v>2</v>
      </c>
      <c r="D126">
        <v>49.4</v>
      </c>
      <c r="E126">
        <v>51.38</v>
      </c>
      <c r="F126">
        <v>90.68</v>
      </c>
      <c r="G126">
        <v>94.3</v>
      </c>
      <c r="H126">
        <v>49.4</v>
      </c>
      <c r="I126">
        <v>51.38</v>
      </c>
      <c r="J126" s="484"/>
      <c r="K126" s="495">
        <f t="shared" si="8"/>
        <v>4.0080971659919085E-2</v>
      </c>
      <c r="L126" s="495">
        <f t="shared" si="9"/>
        <v>3.9920599911777543E-2</v>
      </c>
      <c r="M126" s="495">
        <f t="shared" si="10"/>
        <v>4.0080971659919085E-2</v>
      </c>
      <c r="O126" s="484"/>
      <c r="Q126" s="484"/>
      <c r="R126" s="484"/>
      <c r="S126" s="484"/>
      <c r="T126" s="484"/>
      <c r="U126" s="484"/>
      <c r="V126" s="484"/>
    </row>
    <row r="127" spans="1:22">
      <c r="A127"/>
      <c r="B127"/>
      <c r="C127">
        <v>3</v>
      </c>
      <c r="D127">
        <v>54.37</v>
      </c>
      <c r="E127">
        <v>56.55</v>
      </c>
      <c r="F127">
        <v>94.98</v>
      </c>
      <c r="G127">
        <v>98.78</v>
      </c>
      <c r="H127">
        <v>54.37</v>
      </c>
      <c r="I127">
        <v>56.55</v>
      </c>
      <c r="J127" s="484"/>
      <c r="K127" s="495">
        <f t="shared" si="8"/>
        <v>4.0095640978480729E-2</v>
      </c>
      <c r="L127" s="495">
        <f t="shared" si="9"/>
        <v>4.0008422825858148E-2</v>
      </c>
      <c r="M127" s="495">
        <f t="shared" si="10"/>
        <v>4.0095640978480729E-2</v>
      </c>
      <c r="O127" s="484"/>
      <c r="Q127" s="484"/>
      <c r="R127" s="484"/>
      <c r="S127" s="484"/>
      <c r="T127" s="484"/>
      <c r="U127" s="484"/>
      <c r="V127" s="484"/>
    </row>
    <row r="128" spans="1:22">
      <c r="A128"/>
      <c r="B128"/>
      <c r="C128">
        <v>4</v>
      </c>
      <c r="D128">
        <v>61.03</v>
      </c>
      <c r="E128">
        <v>63.48</v>
      </c>
      <c r="F128">
        <v>100.86</v>
      </c>
      <c r="G128">
        <v>104.9</v>
      </c>
      <c r="H128">
        <v>61.03</v>
      </c>
      <c r="I128">
        <v>63.48</v>
      </c>
      <c r="J128" s="484"/>
      <c r="K128" s="495">
        <f t="shared" si="8"/>
        <v>4.0144191381287886E-2</v>
      </c>
      <c r="L128" s="495">
        <f t="shared" si="9"/>
        <v>4.005552250644473E-2</v>
      </c>
      <c r="M128" s="495">
        <f t="shared" si="10"/>
        <v>4.0144191381287886E-2</v>
      </c>
      <c r="O128" s="484"/>
      <c r="Q128" s="484"/>
      <c r="R128" s="484"/>
      <c r="S128" s="484"/>
      <c r="T128" s="484"/>
      <c r="U128" s="484"/>
      <c r="V128" s="484"/>
    </row>
    <row r="129" spans="1:22">
      <c r="A129"/>
      <c r="B129"/>
      <c r="C129">
        <v>5</v>
      </c>
      <c r="D129">
        <v>66.930000000000007</v>
      </c>
      <c r="E129">
        <v>69.61</v>
      </c>
      <c r="F129">
        <v>106.08</v>
      </c>
      <c r="G129">
        <v>110.32</v>
      </c>
      <c r="H129">
        <v>66.930000000000007</v>
      </c>
      <c r="I129">
        <v>69.61</v>
      </c>
      <c r="J129" s="484"/>
      <c r="K129" s="495">
        <f t="shared" si="8"/>
        <v>4.0041834752726713E-2</v>
      </c>
      <c r="L129" s="495">
        <f t="shared" si="9"/>
        <v>3.9969834087481004E-2</v>
      </c>
      <c r="M129" s="495">
        <f t="shared" si="10"/>
        <v>4.0041834752726713E-2</v>
      </c>
      <c r="O129" s="484"/>
      <c r="Q129" s="484"/>
      <c r="R129" s="484"/>
      <c r="S129" s="484"/>
      <c r="T129" s="484"/>
      <c r="U129" s="484"/>
      <c r="V129" s="484"/>
    </row>
    <row r="130" spans="1:22">
      <c r="A130"/>
      <c r="B130">
        <v>4</v>
      </c>
      <c r="C130">
        <v>1</v>
      </c>
      <c r="D130">
        <v>57.79</v>
      </c>
      <c r="E130">
        <v>60.1</v>
      </c>
      <c r="F130">
        <v>142.46</v>
      </c>
      <c r="G130">
        <v>148.16</v>
      </c>
      <c r="H130">
        <v>57.79</v>
      </c>
      <c r="I130">
        <v>60.1</v>
      </c>
      <c r="J130" s="484"/>
      <c r="K130" s="495">
        <f t="shared" si="8"/>
        <v>3.9972313549057059E-2</v>
      </c>
      <c r="L130" s="495">
        <f t="shared" si="9"/>
        <v>4.001123122279937E-2</v>
      </c>
      <c r="M130" s="495">
        <f t="shared" si="10"/>
        <v>3.9972313549057059E-2</v>
      </c>
      <c r="O130" s="484"/>
      <c r="Q130" s="484"/>
      <c r="R130" s="484"/>
      <c r="S130" s="484"/>
      <c r="T130" s="484"/>
      <c r="U130" s="484"/>
      <c r="V130" s="484"/>
    </row>
    <row r="131" spans="1:22">
      <c r="A131"/>
      <c r="B131"/>
      <c r="C131">
        <v>2</v>
      </c>
      <c r="D131">
        <v>60.87</v>
      </c>
      <c r="E131">
        <v>63.31</v>
      </c>
      <c r="F131">
        <v>145.16999999999999</v>
      </c>
      <c r="G131">
        <v>150.97</v>
      </c>
      <c r="H131">
        <v>60.87</v>
      </c>
      <c r="I131">
        <v>63.31</v>
      </c>
      <c r="J131" s="484"/>
      <c r="K131" s="495">
        <f t="shared" si="8"/>
        <v>4.0085427961228826E-2</v>
      </c>
      <c r="L131" s="495">
        <f t="shared" si="9"/>
        <v>3.9953158366053731E-2</v>
      </c>
      <c r="M131" s="495">
        <f t="shared" si="10"/>
        <v>4.0085427961228826E-2</v>
      </c>
      <c r="O131" s="484"/>
      <c r="Q131" s="484"/>
      <c r="R131" s="484"/>
      <c r="S131" s="484"/>
      <c r="T131" s="484"/>
      <c r="U131" s="484"/>
      <c r="V131" s="484"/>
    </row>
    <row r="132" spans="1:22">
      <c r="A132"/>
      <c r="B132"/>
      <c r="C132">
        <v>3</v>
      </c>
      <c r="D132">
        <v>65.84</v>
      </c>
      <c r="E132">
        <v>68.47</v>
      </c>
      <c r="F132">
        <v>149.53</v>
      </c>
      <c r="G132">
        <v>155.51</v>
      </c>
      <c r="H132">
        <v>65.84</v>
      </c>
      <c r="I132">
        <v>68.47</v>
      </c>
      <c r="J132" s="484"/>
      <c r="K132" s="495">
        <f t="shared" si="8"/>
        <v>3.9945321992709504E-2</v>
      </c>
      <c r="L132" s="495">
        <f t="shared" si="9"/>
        <v>3.9991974854544088E-2</v>
      </c>
      <c r="M132" s="495">
        <f t="shared" si="10"/>
        <v>3.9945321992709504E-2</v>
      </c>
      <c r="O132" s="484"/>
      <c r="Q132" s="484"/>
      <c r="R132" s="484"/>
      <c r="S132" s="484"/>
      <c r="T132" s="484"/>
      <c r="U132" s="484"/>
      <c r="V132" s="484"/>
    </row>
    <row r="133" spans="1:22">
      <c r="A133"/>
      <c r="B133"/>
      <c r="C133">
        <v>4</v>
      </c>
      <c r="D133">
        <v>72.540000000000006</v>
      </c>
      <c r="E133">
        <v>75.44</v>
      </c>
      <c r="F133">
        <v>155.41999999999999</v>
      </c>
      <c r="G133">
        <v>161.63999999999999</v>
      </c>
      <c r="H133">
        <v>72.540000000000006</v>
      </c>
      <c r="I133">
        <v>75.44</v>
      </c>
      <c r="J133" s="484"/>
      <c r="K133" s="495">
        <f t="shared" si="8"/>
        <v>3.9977943203749478E-2</v>
      </c>
      <c r="L133" s="495">
        <f t="shared" si="9"/>
        <v>4.002058937073727E-2</v>
      </c>
      <c r="M133" s="495">
        <f t="shared" si="10"/>
        <v>3.9977943203749478E-2</v>
      </c>
      <c r="O133" s="484"/>
      <c r="Q133" s="484"/>
      <c r="R133" s="484"/>
      <c r="S133" s="484"/>
      <c r="T133" s="484"/>
      <c r="U133" s="484"/>
      <c r="V133" s="484"/>
    </row>
    <row r="134" spans="1:22">
      <c r="A134"/>
      <c r="B134"/>
      <c r="C134">
        <v>5</v>
      </c>
      <c r="D134">
        <v>78.41</v>
      </c>
      <c r="E134">
        <v>81.55</v>
      </c>
      <c r="F134">
        <v>160.58000000000001</v>
      </c>
      <c r="G134">
        <v>167</v>
      </c>
      <c r="H134">
        <v>78.41</v>
      </c>
      <c r="I134">
        <v>81.55</v>
      </c>
      <c r="J134" s="484"/>
      <c r="K134" s="495">
        <f t="shared" si="8"/>
        <v>4.0045912511159409E-2</v>
      </c>
      <c r="L134" s="495">
        <f t="shared" si="9"/>
        <v>3.998007223813671E-2</v>
      </c>
      <c r="M134" s="495">
        <f t="shared" si="10"/>
        <v>4.0045912511159409E-2</v>
      </c>
      <c r="O134" s="484"/>
      <c r="Q134" s="484"/>
      <c r="R134" s="484"/>
      <c r="S134" s="484"/>
      <c r="T134" s="484"/>
      <c r="U134" s="484"/>
      <c r="V134" s="484"/>
    </row>
    <row r="135" spans="1:22">
      <c r="A135"/>
      <c r="B135">
        <v>5</v>
      </c>
      <c r="C135">
        <v>1</v>
      </c>
      <c r="D135">
        <v>80.47</v>
      </c>
      <c r="E135">
        <v>83.69</v>
      </c>
      <c r="F135">
        <v>204.29</v>
      </c>
      <c r="G135">
        <v>212.46</v>
      </c>
      <c r="H135">
        <v>80.47</v>
      </c>
      <c r="I135">
        <v>83.69</v>
      </c>
      <c r="J135" s="484"/>
      <c r="K135" s="495">
        <f t="shared" si="8"/>
        <v>4.0014912389710444E-2</v>
      </c>
      <c r="L135" s="495">
        <f t="shared" si="9"/>
        <v>3.9992167996475647E-2</v>
      </c>
      <c r="M135" s="495">
        <f t="shared" si="10"/>
        <v>4.0014912389710444E-2</v>
      </c>
      <c r="O135" s="484"/>
      <c r="Q135" s="484"/>
      <c r="R135" s="484"/>
      <c r="S135" s="484"/>
      <c r="T135" s="484"/>
      <c r="U135" s="484"/>
      <c r="V135" s="484"/>
    </row>
    <row r="136" spans="1:22">
      <c r="A136"/>
      <c r="B136"/>
      <c r="C136">
        <v>2</v>
      </c>
      <c r="D136">
        <v>83.53</v>
      </c>
      <c r="E136">
        <v>86.87</v>
      </c>
      <c r="F136">
        <v>206.96</v>
      </c>
      <c r="G136">
        <v>215.24</v>
      </c>
      <c r="H136">
        <v>83.53</v>
      </c>
      <c r="I136">
        <v>86.87</v>
      </c>
      <c r="J136" s="484"/>
      <c r="K136" s="495">
        <f t="shared" si="8"/>
        <v>3.9985633903986573E-2</v>
      </c>
      <c r="L136" s="495">
        <f t="shared" si="9"/>
        <v>4.0007730962504873E-2</v>
      </c>
      <c r="M136" s="495">
        <f t="shared" si="10"/>
        <v>3.9985633903986573E-2</v>
      </c>
      <c r="O136" s="484"/>
      <c r="Q136" s="484"/>
      <c r="R136" s="484"/>
      <c r="S136" s="484"/>
      <c r="T136" s="484"/>
      <c r="U136" s="484"/>
      <c r="V136" s="484"/>
    </row>
    <row r="137" spans="1:22">
      <c r="A137"/>
      <c r="B137"/>
      <c r="C137">
        <v>3</v>
      </c>
      <c r="D137">
        <v>88.49</v>
      </c>
      <c r="E137">
        <v>92.03</v>
      </c>
      <c r="F137">
        <v>211.32</v>
      </c>
      <c r="G137">
        <v>219.77</v>
      </c>
      <c r="H137">
        <v>88.49</v>
      </c>
      <c r="I137">
        <v>92.03</v>
      </c>
      <c r="J137" s="484"/>
      <c r="K137" s="495">
        <f t="shared" si="8"/>
        <v>4.0004520284778078E-2</v>
      </c>
      <c r="L137" s="495">
        <f t="shared" si="9"/>
        <v>3.998674995267848E-2</v>
      </c>
      <c r="M137" s="495">
        <f t="shared" si="10"/>
        <v>4.0004520284778078E-2</v>
      </c>
      <c r="O137" s="484"/>
      <c r="Q137" s="484"/>
      <c r="R137" s="484"/>
      <c r="S137" s="484"/>
      <c r="T137" s="484"/>
      <c r="U137" s="484"/>
      <c r="V137" s="484"/>
    </row>
    <row r="138" spans="1:22">
      <c r="A138"/>
      <c r="B138"/>
      <c r="C138">
        <v>4</v>
      </c>
      <c r="D138">
        <v>95.18</v>
      </c>
      <c r="E138">
        <v>98.99</v>
      </c>
      <c r="F138">
        <v>217.19</v>
      </c>
      <c r="G138">
        <v>225.88</v>
      </c>
      <c r="H138">
        <v>95.18</v>
      </c>
      <c r="I138">
        <v>98.99</v>
      </c>
      <c r="J138" s="484"/>
      <c r="K138" s="495">
        <f t="shared" si="8"/>
        <v>4.0029417944946299E-2</v>
      </c>
      <c r="L138" s="495">
        <f t="shared" si="9"/>
        <v>4.0011050232515277E-2</v>
      </c>
      <c r="M138" s="495">
        <f t="shared" si="10"/>
        <v>4.0029417944946299E-2</v>
      </c>
      <c r="O138" s="484"/>
      <c r="Q138" s="484"/>
      <c r="R138" s="484"/>
      <c r="S138" s="484"/>
      <c r="T138" s="484"/>
      <c r="U138" s="484"/>
      <c r="V138" s="484"/>
    </row>
    <row r="139" spans="1:22">
      <c r="A139"/>
      <c r="B139"/>
      <c r="C139">
        <v>5</v>
      </c>
      <c r="D139">
        <v>101.07</v>
      </c>
      <c r="E139">
        <v>105.11</v>
      </c>
      <c r="F139">
        <v>222.37</v>
      </c>
      <c r="G139">
        <v>231.27</v>
      </c>
      <c r="H139">
        <v>101.07</v>
      </c>
      <c r="I139">
        <v>105.11</v>
      </c>
      <c r="J139" s="484"/>
      <c r="K139" s="495">
        <f t="shared" si="8"/>
        <v>3.997229642821809E-2</v>
      </c>
      <c r="L139" s="495">
        <f t="shared" si="9"/>
        <v>4.0023384449341171E-2</v>
      </c>
      <c r="M139" s="495">
        <f t="shared" si="10"/>
        <v>3.997229642821809E-2</v>
      </c>
      <c r="O139" s="484"/>
      <c r="Q139" s="484"/>
      <c r="R139" s="484"/>
      <c r="S139" s="484"/>
      <c r="T139" s="484"/>
      <c r="U139" s="484"/>
      <c r="V139" s="484"/>
    </row>
    <row r="140" spans="1:22">
      <c r="A140" t="s">
        <v>21</v>
      </c>
      <c r="B140">
        <v>1</v>
      </c>
      <c r="C140">
        <v>1</v>
      </c>
      <c r="D140">
        <v>27.69</v>
      </c>
      <c r="E140">
        <v>28.8</v>
      </c>
      <c r="F140">
        <v>27.12</v>
      </c>
      <c r="G140">
        <v>28.2</v>
      </c>
      <c r="H140">
        <v>27.69</v>
      </c>
      <c r="I140">
        <v>28.8</v>
      </c>
      <c r="J140" s="484"/>
      <c r="K140" s="495">
        <f t="shared" si="8"/>
        <v>4.008667388949072E-2</v>
      </c>
      <c r="L140" s="495">
        <f t="shared" si="9"/>
        <v>3.9823008849557473E-2</v>
      </c>
      <c r="M140" s="495">
        <f t="shared" si="10"/>
        <v>4.008667388949072E-2</v>
      </c>
      <c r="O140" s="484"/>
      <c r="Q140" s="484"/>
      <c r="R140" s="484"/>
      <c r="S140" s="484"/>
      <c r="T140" s="484"/>
      <c r="U140" s="484"/>
      <c r="V140" s="484"/>
    </row>
    <row r="141" spans="1:22">
      <c r="A141"/>
      <c r="B141"/>
      <c r="C141">
        <v>2</v>
      </c>
      <c r="D141">
        <v>30.56</v>
      </c>
      <c r="E141">
        <v>31.78</v>
      </c>
      <c r="F141">
        <v>29.65</v>
      </c>
      <c r="G141">
        <v>30.84</v>
      </c>
      <c r="H141">
        <v>30.56</v>
      </c>
      <c r="I141">
        <v>31.78</v>
      </c>
      <c r="J141" s="484"/>
      <c r="K141" s="495">
        <f t="shared" si="8"/>
        <v>3.9921465968586478E-2</v>
      </c>
      <c r="L141" s="495">
        <f t="shared" si="9"/>
        <v>4.0134907251264895E-2</v>
      </c>
      <c r="M141" s="495">
        <f t="shared" si="10"/>
        <v>3.9921465968586478E-2</v>
      </c>
      <c r="O141" s="484"/>
      <c r="Q141" s="484"/>
      <c r="R141" s="484"/>
      <c r="S141" s="484"/>
      <c r="T141" s="484"/>
      <c r="U141" s="484"/>
      <c r="V141" s="484"/>
    </row>
    <row r="142" spans="1:22">
      <c r="A142"/>
      <c r="B142"/>
      <c r="C142">
        <v>3</v>
      </c>
      <c r="D142">
        <v>35.229999999999997</v>
      </c>
      <c r="E142">
        <v>36.64</v>
      </c>
      <c r="F142">
        <v>33.76</v>
      </c>
      <c r="G142">
        <v>35.11</v>
      </c>
      <c r="H142">
        <v>35.229999999999997</v>
      </c>
      <c r="I142">
        <v>36.64</v>
      </c>
      <c r="J142" s="484"/>
      <c r="K142" s="495">
        <f t="shared" si="8"/>
        <v>4.0022707919386891E-2</v>
      </c>
      <c r="L142" s="495">
        <f t="shared" si="9"/>
        <v>3.9988151658767901E-2</v>
      </c>
      <c r="M142" s="495">
        <f t="shared" si="10"/>
        <v>4.0022707919386891E-2</v>
      </c>
      <c r="O142" s="484"/>
      <c r="Q142" s="484"/>
      <c r="R142" s="484"/>
      <c r="S142" s="484"/>
      <c r="T142" s="484"/>
      <c r="U142" s="484"/>
      <c r="V142" s="484"/>
    </row>
    <row r="143" spans="1:22">
      <c r="A143"/>
      <c r="B143"/>
      <c r="C143">
        <v>4</v>
      </c>
      <c r="D143">
        <v>41.56</v>
      </c>
      <c r="E143">
        <v>43.22</v>
      </c>
      <c r="F143">
        <v>39.299999999999997</v>
      </c>
      <c r="G143">
        <v>40.869999999999997</v>
      </c>
      <c r="H143">
        <v>41.56</v>
      </c>
      <c r="I143">
        <v>43.22</v>
      </c>
      <c r="J143" s="484"/>
      <c r="K143" s="495">
        <f t="shared" si="8"/>
        <v>3.9942252165543701E-2</v>
      </c>
      <c r="L143" s="495">
        <f t="shared" ref="L143:L164" si="11">G143/F143-1</f>
        <v>3.9949109414758377E-2</v>
      </c>
      <c r="M143" s="495">
        <f t="shared" ref="M143:M164" si="12">I143/H143-1</f>
        <v>3.9942252165543701E-2</v>
      </c>
      <c r="O143" s="484"/>
      <c r="Q143" s="484"/>
      <c r="R143" s="484"/>
      <c r="S143" s="484"/>
      <c r="T143" s="484"/>
      <c r="U143" s="484"/>
      <c r="V143" s="484"/>
    </row>
    <row r="144" spans="1:22">
      <c r="A144"/>
      <c r="B144"/>
      <c r="C144">
        <v>5</v>
      </c>
      <c r="D144">
        <v>47.1</v>
      </c>
      <c r="E144">
        <v>48.98</v>
      </c>
      <c r="F144">
        <v>44.14</v>
      </c>
      <c r="G144">
        <v>45.91</v>
      </c>
      <c r="H144">
        <v>47.1</v>
      </c>
      <c r="I144">
        <v>48.98</v>
      </c>
      <c r="J144" s="484"/>
      <c r="K144" s="495">
        <f t="shared" ref="K144:K164" si="13">E144/D144-1</f>
        <v>3.991507430997876E-2</v>
      </c>
      <c r="L144" s="495">
        <f t="shared" si="11"/>
        <v>4.0099682827367422E-2</v>
      </c>
      <c r="M144" s="495">
        <f t="shared" si="12"/>
        <v>3.991507430997876E-2</v>
      </c>
      <c r="O144" s="484"/>
      <c r="Q144" s="484"/>
      <c r="R144" s="484"/>
      <c r="S144" s="484"/>
      <c r="T144" s="484"/>
      <c r="U144" s="484"/>
      <c r="V144" s="484"/>
    </row>
    <row r="145" spans="1:22">
      <c r="A145"/>
      <c r="B145">
        <v>2</v>
      </c>
      <c r="C145">
        <v>1</v>
      </c>
      <c r="D145">
        <v>33.090000000000003</v>
      </c>
      <c r="E145">
        <v>34.409999999999997</v>
      </c>
      <c r="F145">
        <v>48.54</v>
      </c>
      <c r="G145">
        <v>50.48</v>
      </c>
      <c r="H145">
        <v>33.090000000000003</v>
      </c>
      <c r="I145">
        <v>34.409999999999997</v>
      </c>
      <c r="J145" s="484"/>
      <c r="K145" s="495">
        <f t="shared" si="13"/>
        <v>3.9891205802357055E-2</v>
      </c>
      <c r="L145" s="495">
        <f t="shared" si="11"/>
        <v>3.9967037494849533E-2</v>
      </c>
      <c r="M145" s="495">
        <f t="shared" si="12"/>
        <v>3.9891205802357055E-2</v>
      </c>
      <c r="O145" s="484"/>
      <c r="Q145" s="484"/>
      <c r="R145" s="484"/>
      <c r="S145" s="484"/>
      <c r="T145" s="484"/>
      <c r="U145" s="484"/>
      <c r="V145" s="484"/>
    </row>
    <row r="146" spans="1:22">
      <c r="A146"/>
      <c r="B146"/>
      <c r="C146">
        <v>2</v>
      </c>
      <c r="D146">
        <v>35.950000000000003</v>
      </c>
      <c r="E146">
        <v>37.39</v>
      </c>
      <c r="F146">
        <v>51.08</v>
      </c>
      <c r="G146">
        <v>53.12</v>
      </c>
      <c r="H146">
        <v>35.950000000000003</v>
      </c>
      <c r="I146">
        <v>37.39</v>
      </c>
      <c r="J146" s="484"/>
      <c r="K146" s="495">
        <f t="shared" si="13"/>
        <v>4.0055632823365661E-2</v>
      </c>
      <c r="L146" s="495">
        <f t="shared" si="11"/>
        <v>3.9937353171495715E-2</v>
      </c>
      <c r="M146" s="495">
        <f t="shared" si="12"/>
        <v>4.0055632823365661E-2</v>
      </c>
      <c r="O146" s="484"/>
      <c r="Q146" s="484"/>
      <c r="R146" s="484"/>
      <c r="S146" s="484"/>
      <c r="T146" s="484"/>
      <c r="U146" s="484"/>
      <c r="V146" s="484"/>
    </row>
    <row r="147" spans="1:22">
      <c r="A147"/>
      <c r="B147"/>
      <c r="C147">
        <v>3</v>
      </c>
      <c r="D147">
        <v>40.65</v>
      </c>
      <c r="E147">
        <v>42.28</v>
      </c>
      <c r="F147">
        <v>55.17</v>
      </c>
      <c r="G147">
        <v>57.38</v>
      </c>
      <c r="H147">
        <v>40.65</v>
      </c>
      <c r="I147">
        <v>42.28</v>
      </c>
      <c r="J147" s="484"/>
      <c r="K147" s="495">
        <f t="shared" si="13"/>
        <v>4.0098400984009963E-2</v>
      </c>
      <c r="L147" s="495">
        <f t="shared" si="11"/>
        <v>4.0058002537610937E-2</v>
      </c>
      <c r="M147" s="495">
        <f t="shared" si="12"/>
        <v>4.0098400984009963E-2</v>
      </c>
      <c r="O147" s="484"/>
      <c r="Q147" s="484"/>
      <c r="R147" s="484"/>
      <c r="S147" s="484"/>
      <c r="T147" s="484"/>
      <c r="U147" s="484"/>
      <c r="V147" s="484"/>
    </row>
    <row r="148" spans="1:22">
      <c r="A148"/>
      <c r="B148"/>
      <c r="C148">
        <v>4</v>
      </c>
      <c r="D148">
        <v>46.9</v>
      </c>
      <c r="E148">
        <v>48.78</v>
      </c>
      <c r="F148">
        <v>60.72</v>
      </c>
      <c r="G148">
        <v>63.15</v>
      </c>
      <c r="H148">
        <v>46.9</v>
      </c>
      <c r="I148">
        <v>48.78</v>
      </c>
      <c r="J148" s="484"/>
      <c r="K148" s="495">
        <f t="shared" si="13"/>
        <v>4.008528784648191E-2</v>
      </c>
      <c r="L148" s="495">
        <f t="shared" si="11"/>
        <v>4.0019762845849849E-2</v>
      </c>
      <c r="M148" s="495">
        <f t="shared" si="12"/>
        <v>4.008528784648191E-2</v>
      </c>
      <c r="O148" s="484"/>
      <c r="Q148" s="484"/>
      <c r="R148" s="484"/>
      <c r="S148" s="484"/>
      <c r="T148" s="484"/>
      <c r="U148" s="484"/>
      <c r="V148" s="484"/>
    </row>
    <row r="149" spans="1:22">
      <c r="A149"/>
      <c r="B149"/>
      <c r="C149">
        <v>5</v>
      </c>
      <c r="D149">
        <v>52.46</v>
      </c>
      <c r="E149">
        <v>54.56</v>
      </c>
      <c r="F149">
        <v>65.58</v>
      </c>
      <c r="G149">
        <v>68.2</v>
      </c>
      <c r="H149">
        <v>52.46</v>
      </c>
      <c r="I149">
        <v>54.56</v>
      </c>
      <c r="J149" s="484"/>
      <c r="K149" s="495">
        <f t="shared" si="13"/>
        <v>4.0030499428135746E-2</v>
      </c>
      <c r="L149" s="495">
        <f t="shared" si="11"/>
        <v>3.9951204635559678E-2</v>
      </c>
      <c r="M149" s="495">
        <f t="shared" si="12"/>
        <v>4.0030499428135746E-2</v>
      </c>
      <c r="O149" s="484"/>
      <c r="Q149" s="484"/>
      <c r="R149" s="484"/>
      <c r="S149" s="484"/>
      <c r="T149" s="484"/>
      <c r="U149" s="484"/>
      <c r="V149" s="484"/>
    </row>
    <row r="150" spans="1:22">
      <c r="A150"/>
      <c r="B150">
        <v>3</v>
      </c>
      <c r="C150">
        <v>1</v>
      </c>
      <c r="D150">
        <v>43.58</v>
      </c>
      <c r="E150">
        <v>45.32</v>
      </c>
      <c r="F150">
        <v>82.74</v>
      </c>
      <c r="G150">
        <v>86.05</v>
      </c>
      <c r="H150">
        <v>43.58</v>
      </c>
      <c r="I150">
        <v>45.32</v>
      </c>
      <c r="J150" s="484"/>
      <c r="K150" s="495">
        <f t="shared" si="13"/>
        <v>3.9926571821936818E-2</v>
      </c>
      <c r="L150" s="495">
        <f t="shared" si="11"/>
        <v>4.0004834421078161E-2</v>
      </c>
      <c r="M150" s="495">
        <f t="shared" si="12"/>
        <v>3.9926571821936818E-2</v>
      </c>
      <c r="O150" s="484"/>
      <c r="Q150" s="484"/>
      <c r="R150" s="484"/>
      <c r="S150" s="484"/>
      <c r="T150" s="484"/>
      <c r="U150" s="484"/>
      <c r="V150" s="484"/>
    </row>
    <row r="151" spans="1:22">
      <c r="A151"/>
      <c r="B151"/>
      <c r="C151">
        <v>2</v>
      </c>
      <c r="D151">
        <v>46.48</v>
      </c>
      <c r="E151">
        <v>48.34</v>
      </c>
      <c r="F151">
        <v>85.31</v>
      </c>
      <c r="G151">
        <v>88.72</v>
      </c>
      <c r="H151">
        <v>46.48</v>
      </c>
      <c r="I151">
        <v>48.34</v>
      </c>
      <c r="J151" s="484"/>
      <c r="K151" s="495">
        <f t="shared" si="13"/>
        <v>4.0017211703958777E-2</v>
      </c>
      <c r="L151" s="495">
        <f t="shared" si="11"/>
        <v>3.9971867307466935E-2</v>
      </c>
      <c r="M151" s="495">
        <f t="shared" si="12"/>
        <v>4.0017211703958777E-2</v>
      </c>
      <c r="O151" s="484"/>
      <c r="Q151" s="484"/>
      <c r="R151" s="484"/>
      <c r="S151" s="484"/>
      <c r="T151" s="484"/>
      <c r="U151" s="484"/>
      <c r="V151" s="484"/>
    </row>
    <row r="152" spans="1:22">
      <c r="A152"/>
      <c r="B152"/>
      <c r="C152">
        <v>3</v>
      </c>
      <c r="D152">
        <v>51.15</v>
      </c>
      <c r="E152">
        <v>53.2</v>
      </c>
      <c r="F152">
        <v>89.36</v>
      </c>
      <c r="G152">
        <v>92.93</v>
      </c>
      <c r="H152">
        <v>51.15</v>
      </c>
      <c r="I152">
        <v>53.2</v>
      </c>
      <c r="J152" s="484"/>
      <c r="K152" s="495">
        <f t="shared" si="13"/>
        <v>4.0078201368524136E-2</v>
      </c>
      <c r="L152" s="495">
        <f t="shared" si="11"/>
        <v>3.9950760966875665E-2</v>
      </c>
      <c r="M152" s="495">
        <f t="shared" si="12"/>
        <v>4.0078201368524136E-2</v>
      </c>
      <c r="O152" s="484"/>
      <c r="Q152" s="484"/>
      <c r="R152" s="484"/>
      <c r="S152" s="484"/>
      <c r="T152" s="484"/>
      <c r="U152" s="484"/>
      <c r="V152" s="484"/>
    </row>
    <row r="153" spans="1:22">
      <c r="A153"/>
      <c r="B153"/>
      <c r="C153">
        <v>4</v>
      </c>
      <c r="D153">
        <v>57.42</v>
      </c>
      <c r="E153">
        <v>59.72</v>
      </c>
      <c r="F153">
        <v>94.89</v>
      </c>
      <c r="G153">
        <v>98.69</v>
      </c>
      <c r="H153">
        <v>57.42</v>
      </c>
      <c r="I153">
        <v>59.72</v>
      </c>
      <c r="J153" s="484"/>
      <c r="K153" s="495">
        <f t="shared" si="13"/>
        <v>4.0055729710902099E-2</v>
      </c>
      <c r="L153" s="495">
        <f t="shared" si="11"/>
        <v>4.0046369480450927E-2</v>
      </c>
      <c r="M153" s="495">
        <f t="shared" si="12"/>
        <v>4.0055729710902099E-2</v>
      </c>
      <c r="O153" s="484"/>
      <c r="Q153" s="484"/>
      <c r="R153" s="484"/>
      <c r="S153" s="484"/>
      <c r="T153" s="484"/>
      <c r="U153" s="484"/>
      <c r="V153" s="484"/>
    </row>
    <row r="154" spans="1:22">
      <c r="A154"/>
      <c r="B154"/>
      <c r="C154">
        <v>5</v>
      </c>
      <c r="D154">
        <v>62.97</v>
      </c>
      <c r="E154">
        <v>65.489999999999995</v>
      </c>
      <c r="F154">
        <v>99.8</v>
      </c>
      <c r="G154">
        <v>103.79</v>
      </c>
      <c r="H154">
        <v>62.97</v>
      </c>
      <c r="I154">
        <v>65.489999999999995</v>
      </c>
      <c r="J154" s="484"/>
      <c r="K154" s="495">
        <f t="shared" si="13"/>
        <v>4.0019056693663568E-2</v>
      </c>
      <c r="L154" s="495">
        <f t="shared" si="11"/>
        <v>3.9979959919839825E-2</v>
      </c>
      <c r="M154" s="495">
        <f t="shared" si="12"/>
        <v>4.0019056693663568E-2</v>
      </c>
      <c r="O154" s="484"/>
      <c r="Q154" s="484"/>
      <c r="R154" s="484"/>
      <c r="S154" s="484"/>
      <c r="T154" s="484"/>
      <c r="U154" s="484"/>
      <c r="V154" s="484"/>
    </row>
    <row r="155" spans="1:22">
      <c r="A155"/>
      <c r="B155">
        <v>4</v>
      </c>
      <c r="C155">
        <v>1</v>
      </c>
      <c r="D155">
        <v>54.37</v>
      </c>
      <c r="E155">
        <v>56.54</v>
      </c>
      <c r="F155">
        <v>134.03</v>
      </c>
      <c r="G155">
        <v>139.38999999999999</v>
      </c>
      <c r="H155">
        <v>54.37</v>
      </c>
      <c r="I155">
        <v>56.54</v>
      </c>
      <c r="J155" s="484"/>
      <c r="K155" s="495">
        <f t="shared" si="13"/>
        <v>3.9911716019863874E-2</v>
      </c>
      <c r="L155" s="495">
        <f t="shared" si="11"/>
        <v>3.9991046780571304E-2</v>
      </c>
      <c r="M155" s="495">
        <f t="shared" si="12"/>
        <v>3.9911716019863874E-2</v>
      </c>
      <c r="O155" s="484"/>
      <c r="Q155" s="484"/>
      <c r="R155" s="484"/>
      <c r="S155" s="484"/>
      <c r="T155" s="484"/>
      <c r="U155" s="484"/>
      <c r="V155" s="484"/>
    </row>
    <row r="156" spans="1:22">
      <c r="A156"/>
      <c r="B156"/>
      <c r="C156">
        <v>2</v>
      </c>
      <c r="D156">
        <v>57.27</v>
      </c>
      <c r="E156">
        <v>59.56</v>
      </c>
      <c r="F156">
        <v>136.58000000000001</v>
      </c>
      <c r="G156">
        <v>142.04</v>
      </c>
      <c r="H156">
        <v>57.27</v>
      </c>
      <c r="I156">
        <v>59.56</v>
      </c>
      <c r="J156" s="484"/>
      <c r="K156" s="495">
        <f t="shared" si="13"/>
        <v>3.9986031080845086E-2</v>
      </c>
      <c r="L156" s="495">
        <f t="shared" si="11"/>
        <v>3.9976570508126974E-2</v>
      </c>
      <c r="M156" s="495">
        <f t="shared" si="12"/>
        <v>3.9986031080845086E-2</v>
      </c>
      <c r="O156" s="484"/>
      <c r="Q156" s="484"/>
      <c r="R156" s="484"/>
      <c r="S156" s="484"/>
      <c r="T156" s="484"/>
      <c r="U156" s="484"/>
      <c r="V156" s="484"/>
    </row>
    <row r="157" spans="1:22">
      <c r="A157"/>
      <c r="B157"/>
      <c r="C157">
        <v>3</v>
      </c>
      <c r="D157">
        <v>61.94</v>
      </c>
      <c r="E157">
        <v>64.42</v>
      </c>
      <c r="F157">
        <v>140.68</v>
      </c>
      <c r="G157">
        <v>146.31</v>
      </c>
      <c r="H157">
        <v>61.94</v>
      </c>
      <c r="I157">
        <v>64.42</v>
      </c>
      <c r="J157" s="484"/>
      <c r="K157" s="495">
        <f t="shared" si="13"/>
        <v>4.0038747174685252E-2</v>
      </c>
      <c r="L157" s="495">
        <f t="shared" si="11"/>
        <v>4.0019903326698802E-2</v>
      </c>
      <c r="M157" s="495">
        <f t="shared" si="12"/>
        <v>4.0038747174685252E-2</v>
      </c>
      <c r="O157" s="484"/>
      <c r="Q157" s="484"/>
      <c r="R157" s="484"/>
      <c r="S157" s="484"/>
      <c r="T157" s="484"/>
      <c r="U157" s="484"/>
      <c r="V157" s="484"/>
    </row>
    <row r="158" spans="1:22">
      <c r="A158"/>
      <c r="B158"/>
      <c r="C158">
        <v>4</v>
      </c>
      <c r="D158">
        <v>68.25</v>
      </c>
      <c r="E158">
        <v>70.98</v>
      </c>
      <c r="F158">
        <v>146.22</v>
      </c>
      <c r="G158">
        <v>152.07</v>
      </c>
      <c r="H158">
        <v>68.25</v>
      </c>
      <c r="I158">
        <v>70.98</v>
      </c>
      <c r="J158" s="484"/>
      <c r="K158" s="495">
        <f t="shared" si="13"/>
        <v>4.0000000000000036E-2</v>
      </c>
      <c r="L158" s="495">
        <f t="shared" si="11"/>
        <v>4.0008206811653624E-2</v>
      </c>
      <c r="M158" s="495">
        <f t="shared" si="12"/>
        <v>4.0000000000000036E-2</v>
      </c>
      <c r="O158" s="484"/>
      <c r="Q158" s="484"/>
      <c r="R158" s="484"/>
      <c r="S158" s="484"/>
      <c r="T158" s="484"/>
      <c r="U158" s="484"/>
      <c r="V158" s="484"/>
    </row>
    <row r="159" spans="1:22">
      <c r="A159"/>
      <c r="B159"/>
      <c r="C159">
        <v>5</v>
      </c>
      <c r="D159">
        <v>73.77</v>
      </c>
      <c r="E159">
        <v>76.72</v>
      </c>
      <c r="F159">
        <v>151.08000000000001</v>
      </c>
      <c r="G159">
        <v>157.12</v>
      </c>
      <c r="H159">
        <v>73.77</v>
      </c>
      <c r="I159">
        <v>76.72</v>
      </c>
      <c r="J159" s="484"/>
      <c r="K159" s="495">
        <f t="shared" si="13"/>
        <v>3.9989155483258765E-2</v>
      </c>
      <c r="L159" s="495">
        <f t="shared" si="11"/>
        <v>3.9978819168652313E-2</v>
      </c>
      <c r="M159" s="495">
        <f t="shared" si="12"/>
        <v>3.9989155483258765E-2</v>
      </c>
      <c r="O159" s="484"/>
      <c r="Q159" s="484"/>
      <c r="R159" s="484"/>
      <c r="S159" s="484"/>
      <c r="T159" s="484"/>
      <c r="U159" s="484"/>
      <c r="V159" s="484"/>
    </row>
    <row r="160" spans="1:22">
      <c r="A160"/>
      <c r="B160">
        <v>5</v>
      </c>
      <c r="C160">
        <v>1</v>
      </c>
      <c r="D160">
        <v>75.709999999999994</v>
      </c>
      <c r="E160">
        <v>78.739999999999995</v>
      </c>
      <c r="F160">
        <v>192.2</v>
      </c>
      <c r="G160">
        <v>199.89</v>
      </c>
      <c r="H160">
        <v>75.709999999999994</v>
      </c>
      <c r="I160">
        <v>78.739999999999995</v>
      </c>
      <c r="J160" s="484"/>
      <c r="K160" s="495">
        <f t="shared" si="13"/>
        <v>4.0021133271694653E-2</v>
      </c>
      <c r="L160" s="495">
        <f t="shared" si="11"/>
        <v>4.0010405827263229E-2</v>
      </c>
      <c r="M160" s="495">
        <f t="shared" si="12"/>
        <v>4.0021133271694653E-2</v>
      </c>
      <c r="O160" s="484"/>
      <c r="Q160" s="484"/>
      <c r="R160" s="484"/>
      <c r="S160" s="484"/>
      <c r="T160" s="484"/>
      <c r="U160" s="484"/>
      <c r="V160" s="484"/>
    </row>
    <row r="161" spans="1:22">
      <c r="A161"/>
      <c r="B161"/>
      <c r="C161">
        <v>2</v>
      </c>
      <c r="D161">
        <v>78.59</v>
      </c>
      <c r="E161">
        <v>81.73</v>
      </c>
      <c r="F161">
        <v>194.71</v>
      </c>
      <c r="G161">
        <v>202.5</v>
      </c>
      <c r="H161">
        <v>78.59</v>
      </c>
      <c r="I161">
        <v>81.73</v>
      </c>
      <c r="J161" s="484"/>
      <c r="K161" s="495">
        <f t="shared" si="13"/>
        <v>3.9954192645374809E-2</v>
      </c>
      <c r="L161" s="495">
        <f t="shared" si="11"/>
        <v>4.0008217348877828E-2</v>
      </c>
      <c r="M161" s="495">
        <f t="shared" si="12"/>
        <v>3.9954192645374809E-2</v>
      </c>
      <c r="O161" s="484"/>
      <c r="Q161" s="484"/>
      <c r="R161" s="484"/>
      <c r="S161" s="484"/>
      <c r="T161" s="484"/>
      <c r="U161" s="484"/>
      <c r="V161" s="484"/>
    </row>
    <row r="162" spans="1:22">
      <c r="A162"/>
      <c r="B162"/>
      <c r="C162">
        <v>3</v>
      </c>
      <c r="D162">
        <v>83.25</v>
      </c>
      <c r="E162">
        <v>86.58</v>
      </c>
      <c r="F162">
        <v>198.81</v>
      </c>
      <c r="G162">
        <v>206.76</v>
      </c>
      <c r="H162">
        <v>83.25</v>
      </c>
      <c r="I162">
        <v>86.58</v>
      </c>
      <c r="J162" s="484"/>
      <c r="K162" s="495">
        <f t="shared" si="13"/>
        <v>4.0000000000000036E-2</v>
      </c>
      <c r="L162" s="495">
        <f t="shared" si="11"/>
        <v>3.9987928172626974E-2</v>
      </c>
      <c r="M162" s="495">
        <f t="shared" si="12"/>
        <v>4.0000000000000036E-2</v>
      </c>
      <c r="O162" s="484"/>
      <c r="Q162" s="484"/>
      <c r="R162" s="484"/>
      <c r="S162" s="484"/>
      <c r="T162" s="484"/>
      <c r="U162" s="484"/>
      <c r="V162" s="484"/>
    </row>
    <row r="163" spans="1:22">
      <c r="A163"/>
      <c r="B163"/>
      <c r="C163">
        <v>4</v>
      </c>
      <c r="D163">
        <v>89.55</v>
      </c>
      <c r="E163">
        <v>93.13</v>
      </c>
      <c r="F163">
        <v>204.34</v>
      </c>
      <c r="G163">
        <v>212.51</v>
      </c>
      <c r="H163">
        <v>89.55</v>
      </c>
      <c r="I163">
        <v>93.13</v>
      </c>
      <c r="J163" s="484"/>
      <c r="K163" s="495">
        <f t="shared" si="13"/>
        <v>3.9977666108319321E-2</v>
      </c>
      <c r="L163" s="495">
        <f t="shared" si="11"/>
        <v>3.9982382304003083E-2</v>
      </c>
      <c r="M163" s="495">
        <f t="shared" si="12"/>
        <v>3.9977666108319321E-2</v>
      </c>
      <c r="O163" s="484"/>
      <c r="Q163" s="484"/>
      <c r="R163" s="484"/>
      <c r="S163" s="484"/>
      <c r="T163" s="484"/>
      <c r="U163" s="484"/>
      <c r="V163" s="484"/>
    </row>
    <row r="164" spans="1:22">
      <c r="A164"/>
      <c r="B164"/>
      <c r="C164">
        <v>5</v>
      </c>
      <c r="D164">
        <v>95.09</v>
      </c>
      <c r="E164">
        <v>98.89</v>
      </c>
      <c r="F164">
        <v>209.21</v>
      </c>
      <c r="G164">
        <v>217.58</v>
      </c>
      <c r="H164">
        <v>95.09</v>
      </c>
      <c r="I164">
        <v>98.89</v>
      </c>
      <c r="J164" s="484"/>
      <c r="K164" s="495">
        <f t="shared" si="13"/>
        <v>3.9962141129456175E-2</v>
      </c>
      <c r="L164" s="495">
        <f t="shared" si="11"/>
        <v>4.000764781798205E-2</v>
      </c>
      <c r="M164" s="495">
        <f t="shared" si="12"/>
        <v>3.9962141129456175E-2</v>
      </c>
      <c r="O164" s="484"/>
      <c r="Q164" s="484"/>
      <c r="R164" s="484"/>
      <c r="S164" s="484"/>
      <c r="T164" s="484"/>
      <c r="U164" s="484"/>
      <c r="V164" s="484"/>
    </row>
    <row r="165" spans="1:22">
      <c r="A165"/>
      <c r="B165"/>
      <c r="C165"/>
      <c r="D165"/>
      <c r="E165"/>
      <c r="F165"/>
      <c r="G165"/>
      <c r="I165" s="484"/>
      <c r="J165" s="484"/>
      <c r="K165" s="484"/>
      <c r="L165" s="484"/>
      <c r="M165" s="484"/>
      <c r="N165" s="484"/>
      <c r="O165" s="484"/>
      <c r="Q165" s="484"/>
      <c r="R165" s="484"/>
      <c r="S165" s="484"/>
      <c r="T165" s="484"/>
      <c r="U165" s="484"/>
      <c r="V165" s="484"/>
    </row>
    <row r="166" spans="1:22">
      <c r="I166" s="484"/>
      <c r="J166" s="484"/>
      <c r="K166" s="484"/>
      <c r="L166" s="484"/>
      <c r="M166" s="484"/>
      <c r="N166" s="484"/>
      <c r="O166" s="484"/>
      <c r="Q166" s="484"/>
      <c r="R166" s="484"/>
      <c r="S166" s="484"/>
      <c r="T166" s="484"/>
      <c r="U166" s="484"/>
      <c r="V166" s="484"/>
    </row>
    <row r="167" spans="1:22">
      <c r="I167" s="484"/>
      <c r="J167" s="484"/>
      <c r="K167" s="484"/>
      <c r="L167" s="484"/>
      <c r="M167" s="484"/>
      <c r="N167" s="484"/>
      <c r="O167" s="484"/>
      <c r="Q167" s="484"/>
      <c r="R167" s="484"/>
      <c r="S167" s="484"/>
      <c r="T167" s="484"/>
      <c r="U167" s="484"/>
      <c r="V167" s="484"/>
    </row>
    <row r="168" spans="1:22">
      <c r="I168" s="484"/>
      <c r="J168" s="484"/>
      <c r="K168" s="484"/>
      <c r="L168" s="484"/>
      <c r="M168" s="484"/>
      <c r="N168" s="484"/>
      <c r="O168" s="484"/>
      <c r="Q168" s="484"/>
      <c r="R168" s="484"/>
      <c r="S168" s="484"/>
      <c r="T168" s="484"/>
      <c r="U168" s="484"/>
      <c r="V168" s="484"/>
    </row>
    <row r="169" spans="1:22">
      <c r="I169" s="484"/>
      <c r="J169" s="484"/>
      <c r="K169" s="484"/>
      <c r="L169" s="484"/>
      <c r="M169" s="484"/>
      <c r="N169" s="484"/>
      <c r="O169" s="484"/>
      <c r="Q169" s="484"/>
      <c r="R169" s="484"/>
      <c r="S169" s="484"/>
      <c r="T169" s="484"/>
      <c r="U169" s="484"/>
      <c r="V169" s="484"/>
    </row>
    <row r="170" spans="1:22">
      <c r="I170" s="484"/>
      <c r="J170" s="484"/>
      <c r="K170" s="484"/>
      <c r="L170" s="484"/>
      <c r="M170" s="484"/>
      <c r="N170" s="484"/>
      <c r="O170" s="484"/>
      <c r="Q170" s="484"/>
      <c r="R170" s="484"/>
      <c r="S170" s="484"/>
      <c r="T170" s="484"/>
      <c r="U170" s="484"/>
      <c r="V170" s="484"/>
    </row>
    <row r="171" spans="1:22">
      <c r="I171" s="484"/>
      <c r="J171" s="484"/>
      <c r="K171" s="484"/>
      <c r="L171" s="484"/>
      <c r="M171" s="484"/>
      <c r="N171" s="484"/>
      <c r="O171" s="484"/>
      <c r="Q171" s="484"/>
      <c r="R171" s="484"/>
      <c r="S171" s="484"/>
      <c r="T171" s="484"/>
      <c r="U171" s="484"/>
      <c r="V171" s="484"/>
    </row>
    <row r="172" spans="1:22">
      <c r="I172" s="484"/>
      <c r="J172" s="484"/>
      <c r="K172" s="484"/>
      <c r="L172" s="484"/>
      <c r="M172" s="484"/>
      <c r="N172" s="484"/>
      <c r="O172" s="484"/>
      <c r="Q172" s="484"/>
      <c r="R172" s="484"/>
      <c r="S172" s="484"/>
      <c r="T172" s="484"/>
      <c r="U172" s="484"/>
      <c r="V172" s="484"/>
    </row>
    <row r="173" spans="1:22">
      <c r="I173" s="484"/>
      <c r="J173" s="484"/>
      <c r="K173" s="484"/>
      <c r="L173" s="484"/>
      <c r="M173" s="484"/>
      <c r="N173" s="484"/>
      <c r="O173" s="484"/>
      <c r="Q173" s="484"/>
      <c r="R173" s="484"/>
      <c r="S173" s="484"/>
      <c r="T173" s="484"/>
      <c r="U173" s="484"/>
      <c r="V173" s="484"/>
    </row>
    <row r="174" spans="1:22">
      <c r="I174" s="484"/>
      <c r="J174" s="484"/>
      <c r="K174" s="484"/>
      <c r="L174" s="484"/>
      <c r="M174" s="484"/>
      <c r="N174" s="484"/>
      <c r="O174" s="484"/>
      <c r="Q174" s="484"/>
      <c r="R174" s="484"/>
      <c r="S174" s="484"/>
      <c r="T174" s="484"/>
      <c r="U174" s="484"/>
      <c r="V174" s="484"/>
    </row>
    <row r="175" spans="1:22">
      <c r="I175" s="484"/>
      <c r="J175" s="484"/>
      <c r="K175" s="484"/>
      <c r="L175" s="484"/>
      <c r="M175" s="484"/>
      <c r="N175" s="484"/>
      <c r="O175" s="484"/>
      <c r="Q175" s="484"/>
      <c r="R175" s="484"/>
      <c r="S175" s="484"/>
      <c r="T175" s="484"/>
      <c r="U175" s="484"/>
      <c r="V175" s="484"/>
    </row>
    <row r="176" spans="1:22">
      <c r="I176" s="484"/>
      <c r="J176" s="484"/>
      <c r="K176" s="484"/>
      <c r="L176" s="484"/>
      <c r="M176" s="484"/>
      <c r="N176" s="484"/>
      <c r="O176" s="484"/>
      <c r="Q176" s="484"/>
      <c r="R176" s="484"/>
      <c r="S176" s="484"/>
      <c r="T176" s="484"/>
      <c r="U176" s="484"/>
      <c r="V176" s="484"/>
    </row>
    <row r="177" spans="9:22">
      <c r="I177" s="484"/>
      <c r="J177" s="484"/>
      <c r="K177" s="484"/>
      <c r="L177" s="484"/>
      <c r="M177" s="484"/>
      <c r="N177" s="484"/>
      <c r="O177" s="484"/>
      <c r="Q177" s="484"/>
      <c r="R177" s="484"/>
      <c r="S177" s="484"/>
      <c r="T177" s="484"/>
      <c r="U177" s="484"/>
      <c r="V177" s="484"/>
    </row>
    <row r="178" spans="9:22">
      <c r="I178" s="484"/>
      <c r="J178" s="484"/>
      <c r="K178" s="484"/>
      <c r="L178" s="484"/>
      <c r="M178" s="484"/>
      <c r="N178" s="484"/>
      <c r="O178" s="484"/>
      <c r="Q178" s="484"/>
      <c r="R178" s="484"/>
      <c r="S178" s="484"/>
      <c r="T178" s="484"/>
      <c r="U178" s="484"/>
      <c r="V178" s="484"/>
    </row>
  </sheetData>
  <mergeCells count="5">
    <mergeCell ref="A6:O7"/>
    <mergeCell ref="D10:E10"/>
    <mergeCell ref="F10:G10"/>
    <mergeCell ref="H10:I10"/>
    <mergeCell ref="J10:O12"/>
  </mergeCells>
  <pageMargins left="0.7" right="0.7" top="0.75" bottom="0.75" header="0.3" footer="0.3"/>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F89A9-7D0A-4EBA-AC75-A5148D71197F}">
  <sheetPr>
    <tabColor theme="7" tint="0.79998168889431442"/>
  </sheetPr>
  <dimension ref="A1:N24"/>
  <sheetViews>
    <sheetView workbookViewId="0">
      <selection activeCell="R22" sqref="R22"/>
    </sheetView>
  </sheetViews>
  <sheetFormatPr defaultColWidth="9.109375" defaultRowHeight="14.4"/>
  <cols>
    <col min="1" max="1" width="10.44140625" style="480" customWidth="1"/>
    <col min="2" max="16384" width="9.109375" style="480"/>
  </cols>
  <sheetData>
    <row r="1" spans="1:14">
      <c r="A1" s="561" t="s">
        <v>729</v>
      </c>
    </row>
    <row r="2" spans="1:14">
      <c r="A2" s="557" t="s">
        <v>520</v>
      </c>
    </row>
    <row r="3" spans="1:14" ht="15" customHeight="1">
      <c r="A3" s="742" t="s">
        <v>613</v>
      </c>
      <c r="B3" s="742"/>
      <c r="C3" s="742"/>
      <c r="D3" s="742"/>
      <c r="E3" s="742"/>
      <c r="F3" s="742"/>
      <c r="G3" s="742"/>
      <c r="H3" s="742"/>
      <c r="I3" s="742"/>
      <c r="J3" s="742"/>
      <c r="K3" s="742"/>
      <c r="L3" s="742"/>
      <c r="M3" s="742"/>
      <c r="N3" s="742"/>
    </row>
    <row r="4" spans="1:14">
      <c r="A4" s="742"/>
      <c r="B4" s="742"/>
      <c r="C4" s="742"/>
      <c r="D4" s="742"/>
      <c r="E4" s="742"/>
      <c r="F4" s="742"/>
      <c r="G4" s="742"/>
      <c r="H4" s="742"/>
      <c r="I4" s="742"/>
      <c r="J4" s="742"/>
      <c r="K4" s="742"/>
      <c r="L4" s="742"/>
      <c r="M4" s="742"/>
      <c r="N4" s="742"/>
    </row>
    <row r="5" spans="1:14">
      <c r="A5" s="742"/>
      <c r="B5" s="742"/>
      <c r="C5" s="742"/>
      <c r="D5" s="742"/>
      <c r="E5" s="742"/>
      <c r="F5" s="742"/>
      <c r="G5" s="742"/>
      <c r="H5" s="742"/>
      <c r="I5" s="742"/>
      <c r="J5" s="742"/>
      <c r="K5" s="742"/>
      <c r="L5" s="742"/>
      <c r="M5" s="742"/>
      <c r="N5" s="742"/>
    </row>
    <row r="6" spans="1:14">
      <c r="A6" s="742"/>
      <c r="B6" s="742"/>
      <c r="C6" s="742"/>
      <c r="D6" s="742"/>
      <c r="E6" s="742"/>
      <c r="F6" s="742"/>
      <c r="G6" s="742"/>
      <c r="H6" s="742"/>
      <c r="I6" s="742"/>
      <c r="J6" s="742"/>
      <c r="K6" s="742"/>
      <c r="L6" s="742"/>
      <c r="M6" s="742"/>
      <c r="N6" s="742"/>
    </row>
    <row r="7" spans="1:14">
      <c r="A7" s="742"/>
      <c r="B7" s="742"/>
      <c r="C7" s="742"/>
      <c r="D7" s="742"/>
      <c r="E7" s="742"/>
      <c r="F7" s="742"/>
      <c r="G7" s="742"/>
      <c r="H7" s="742"/>
      <c r="I7" s="742"/>
      <c r="J7" s="742"/>
      <c r="K7" s="742"/>
      <c r="L7" s="742"/>
      <c r="M7" s="742"/>
      <c r="N7" s="742"/>
    </row>
    <row r="8" spans="1:14">
      <c r="A8" s="742"/>
      <c r="B8" s="742"/>
      <c r="C8" s="742"/>
      <c r="D8" s="742"/>
      <c r="E8" s="742"/>
      <c r="F8" s="742"/>
      <c r="G8" s="742"/>
      <c r="H8" s="742"/>
      <c r="I8" s="742"/>
      <c r="J8" s="742"/>
      <c r="K8" s="742"/>
      <c r="L8" s="742"/>
      <c r="M8" s="742"/>
      <c r="N8" s="742"/>
    </row>
    <row r="9" spans="1:14">
      <c r="A9" s="742"/>
      <c r="B9" s="742"/>
      <c r="C9" s="742"/>
      <c r="D9" s="742"/>
      <c r="E9" s="742"/>
      <c r="F9" s="742"/>
      <c r="G9" s="742"/>
      <c r="H9" s="742"/>
      <c r="I9" s="742"/>
      <c r="J9" s="742"/>
      <c r="K9" s="742"/>
      <c r="L9" s="742"/>
      <c r="M9" s="742"/>
      <c r="N9" s="742"/>
    </row>
    <row r="10" spans="1:14">
      <c r="A10" s="742"/>
      <c r="B10" s="742"/>
      <c r="C10" s="742"/>
      <c r="D10" s="742"/>
      <c r="E10" s="742"/>
      <c r="F10" s="742"/>
      <c r="G10" s="742"/>
      <c r="H10" s="742"/>
      <c r="I10" s="742"/>
      <c r="J10" s="742"/>
      <c r="K10" s="742"/>
      <c r="L10" s="742"/>
      <c r="M10" s="742"/>
      <c r="N10" s="742"/>
    </row>
    <row r="11" spans="1:14">
      <c r="A11" s="742"/>
      <c r="B11" s="742"/>
      <c r="C11" s="742"/>
      <c r="D11" s="742"/>
      <c r="E11" s="742"/>
      <c r="F11" s="742"/>
      <c r="G11" s="742"/>
      <c r="H11" s="742"/>
      <c r="I11" s="742"/>
      <c r="J11" s="742"/>
      <c r="K11" s="742"/>
      <c r="L11" s="742"/>
      <c r="M11" s="742"/>
      <c r="N11" s="742"/>
    </row>
    <row r="12" spans="1:14">
      <c r="A12" s="742"/>
      <c r="B12" s="742"/>
      <c r="C12" s="742"/>
      <c r="D12" s="742"/>
      <c r="E12" s="742"/>
      <c r="F12" s="742"/>
      <c r="G12" s="742"/>
      <c r="H12" s="742"/>
      <c r="I12" s="742"/>
      <c r="J12" s="742"/>
      <c r="K12" s="742"/>
      <c r="L12" s="742"/>
      <c r="M12" s="742"/>
      <c r="N12" s="742"/>
    </row>
    <row r="13" spans="1:14">
      <c r="A13" s="742"/>
      <c r="B13" s="742"/>
      <c r="C13" s="742"/>
      <c r="D13" s="742"/>
      <c r="E13" s="742"/>
      <c r="F13" s="742"/>
      <c r="G13" s="742"/>
      <c r="H13" s="742"/>
      <c r="I13" s="742"/>
      <c r="J13" s="742"/>
      <c r="K13" s="742"/>
      <c r="L13" s="742"/>
      <c r="M13" s="742"/>
      <c r="N13" s="742"/>
    </row>
    <row r="14" spans="1:14">
      <c r="A14" s="742"/>
      <c r="B14" s="742"/>
      <c r="C14" s="742"/>
      <c r="D14" s="742"/>
      <c r="E14" s="742"/>
      <c r="F14" s="742"/>
      <c r="G14" s="742"/>
      <c r="H14" s="742"/>
      <c r="I14" s="742"/>
      <c r="J14" s="742"/>
      <c r="K14" s="742"/>
      <c r="L14" s="742"/>
      <c r="M14" s="742"/>
      <c r="N14" s="742"/>
    </row>
    <row r="15" spans="1:14">
      <c r="A15" s="742"/>
      <c r="B15" s="742"/>
      <c r="C15" s="742"/>
      <c r="D15" s="742"/>
      <c r="E15" s="742"/>
      <c r="F15" s="742"/>
      <c r="G15" s="742"/>
      <c r="H15" s="742"/>
      <c r="I15" s="742"/>
      <c r="J15" s="742"/>
      <c r="K15" s="742"/>
      <c r="L15" s="742"/>
      <c r="M15" s="742"/>
      <c r="N15" s="742"/>
    </row>
    <row r="16" spans="1:14">
      <c r="A16" s="742"/>
      <c r="B16" s="742"/>
      <c r="C16" s="742"/>
      <c r="D16" s="742"/>
      <c r="E16" s="742"/>
      <c r="F16" s="742"/>
      <c r="G16" s="742"/>
      <c r="H16" s="742"/>
      <c r="I16" s="742"/>
      <c r="J16" s="742"/>
      <c r="K16" s="742"/>
      <c r="L16" s="742"/>
      <c r="M16" s="742"/>
      <c r="N16" s="742"/>
    </row>
    <row r="17" spans="1:14">
      <c r="A17" s="742"/>
      <c r="B17" s="742"/>
      <c r="C17" s="742"/>
      <c r="D17" s="742"/>
      <c r="E17" s="742"/>
      <c r="F17" s="742"/>
      <c r="G17" s="742"/>
      <c r="H17" s="742"/>
      <c r="I17" s="742"/>
      <c r="J17" s="742"/>
      <c r="K17" s="742"/>
      <c r="L17" s="742"/>
      <c r="M17" s="742"/>
      <c r="N17" s="742"/>
    </row>
    <row r="18" spans="1:14">
      <c r="A18" s="742"/>
      <c r="B18" s="742"/>
      <c r="C18" s="742"/>
      <c r="D18" s="742"/>
      <c r="E18" s="742"/>
      <c r="F18" s="742"/>
      <c r="G18" s="742"/>
      <c r="H18" s="742"/>
      <c r="I18" s="742"/>
      <c r="J18" s="742"/>
      <c r="K18" s="742"/>
      <c r="L18" s="742"/>
      <c r="M18" s="742"/>
      <c r="N18" s="742"/>
    </row>
    <row r="19" spans="1:14">
      <c r="A19" s="742"/>
      <c r="B19" s="742"/>
      <c r="C19" s="742"/>
      <c r="D19" s="742"/>
      <c r="E19" s="742"/>
      <c r="F19" s="742"/>
      <c r="G19" s="742"/>
      <c r="H19" s="742"/>
      <c r="I19" s="742"/>
      <c r="J19" s="742"/>
      <c r="K19" s="742"/>
      <c r="L19" s="742"/>
      <c r="M19" s="742"/>
      <c r="N19" s="742"/>
    </row>
    <row r="20" spans="1:14">
      <c r="A20" s="742"/>
      <c r="B20" s="742"/>
      <c r="C20" s="742"/>
      <c r="D20" s="742"/>
      <c r="E20" s="742"/>
      <c r="F20" s="742"/>
      <c r="G20" s="742"/>
      <c r="H20" s="742"/>
      <c r="I20" s="742"/>
      <c r="J20" s="742"/>
      <c r="K20" s="742"/>
      <c r="L20" s="742"/>
      <c r="M20" s="742"/>
      <c r="N20" s="742"/>
    </row>
    <row r="21" spans="1:14">
      <c r="A21" s="742"/>
      <c r="B21" s="742"/>
      <c r="C21" s="742"/>
      <c r="D21" s="742"/>
      <c r="E21" s="742"/>
      <c r="F21" s="742"/>
      <c r="G21" s="742"/>
      <c r="H21" s="742"/>
      <c r="I21" s="742"/>
      <c r="J21" s="742"/>
      <c r="K21" s="742"/>
      <c r="L21" s="742"/>
      <c r="M21" s="742"/>
      <c r="N21" s="742"/>
    </row>
    <row r="22" spans="1:14">
      <c r="A22" s="742"/>
      <c r="B22" s="742"/>
      <c r="C22" s="742"/>
      <c r="D22" s="742"/>
      <c r="E22" s="742"/>
      <c r="F22" s="742"/>
      <c r="G22" s="742"/>
      <c r="H22" s="742"/>
      <c r="I22" s="742"/>
      <c r="J22" s="742"/>
      <c r="K22" s="742"/>
      <c r="L22" s="742"/>
      <c r="M22" s="742"/>
      <c r="N22" s="742"/>
    </row>
    <row r="23" spans="1:14">
      <c r="A23" s="742"/>
      <c r="B23" s="742"/>
      <c r="C23" s="742"/>
      <c r="D23" s="742"/>
      <c r="E23" s="742"/>
      <c r="F23" s="742"/>
      <c r="G23" s="742"/>
      <c r="H23" s="742"/>
      <c r="I23" s="742"/>
      <c r="J23" s="742"/>
      <c r="K23" s="742"/>
      <c r="L23" s="742"/>
      <c r="M23" s="742"/>
      <c r="N23" s="742"/>
    </row>
    <row r="24" spans="1:14">
      <c r="A24" s="742"/>
      <c r="B24" s="742"/>
      <c r="C24" s="742"/>
      <c r="D24" s="742"/>
      <c r="E24" s="742"/>
      <c r="F24" s="742"/>
      <c r="G24" s="742"/>
      <c r="H24" s="742"/>
      <c r="I24" s="742"/>
      <c r="J24" s="742"/>
      <c r="K24" s="742"/>
      <c r="L24" s="742"/>
      <c r="M24" s="742"/>
      <c r="N24" s="742"/>
    </row>
  </sheetData>
  <mergeCells count="1">
    <mergeCell ref="A3:N2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9DD59-586F-4DCE-9966-55FA3813C651}">
  <sheetPr>
    <tabColor theme="7" tint="0.79998168889431442"/>
    <pageSetUpPr fitToPage="1"/>
  </sheetPr>
  <dimension ref="A1:J121"/>
  <sheetViews>
    <sheetView workbookViewId="0">
      <pane ySplit="1" topLeftCell="A2" activePane="bottomLeft" state="frozen"/>
      <selection activeCell="R22" sqref="R22"/>
      <selection pane="bottomLeft" activeCell="R22" sqref="R22"/>
    </sheetView>
  </sheetViews>
  <sheetFormatPr defaultRowHeight="14.4"/>
  <cols>
    <col min="1" max="1" width="50.33203125" bestFit="1" customWidth="1"/>
    <col min="2" max="2" width="9.6640625" bestFit="1" customWidth="1"/>
    <col min="3" max="3" width="7.6640625" bestFit="1" customWidth="1"/>
    <col min="4" max="4" width="12.109375" bestFit="1" customWidth="1"/>
    <col min="5" max="5" width="11.6640625" bestFit="1" customWidth="1"/>
    <col min="6" max="6" width="9.33203125" bestFit="1" customWidth="1"/>
    <col min="7" max="7" width="9.5546875" bestFit="1" customWidth="1"/>
    <col min="8" max="8" width="10" bestFit="1" customWidth="1"/>
    <col min="9" max="9" width="5.44140625" bestFit="1" customWidth="1"/>
    <col min="10" max="10" width="7.6640625" bestFit="1" customWidth="1"/>
  </cols>
  <sheetData>
    <row r="1" spans="1:10">
      <c r="A1" t="s">
        <v>614</v>
      </c>
      <c r="B1" t="s">
        <v>615</v>
      </c>
      <c r="C1" t="s">
        <v>616</v>
      </c>
      <c r="D1" t="s">
        <v>617</v>
      </c>
      <c r="E1" t="s">
        <v>618</v>
      </c>
      <c r="F1" t="s">
        <v>619</v>
      </c>
      <c r="G1" t="s">
        <v>6</v>
      </c>
      <c r="H1" t="s">
        <v>620</v>
      </c>
      <c r="I1" t="s">
        <v>621</v>
      </c>
      <c r="J1" t="s">
        <v>622</v>
      </c>
    </row>
    <row r="2" spans="1:10">
      <c r="A2" t="s">
        <v>784</v>
      </c>
      <c r="B2" t="s">
        <v>301</v>
      </c>
      <c r="C2" t="s">
        <v>623</v>
      </c>
      <c r="D2" t="s">
        <v>33</v>
      </c>
      <c r="E2" t="s">
        <v>132</v>
      </c>
      <c r="F2" s="177">
        <v>44743</v>
      </c>
      <c r="G2" s="177">
        <v>45107</v>
      </c>
      <c r="H2" s="684">
        <v>1595.74</v>
      </c>
      <c r="I2" t="s">
        <v>624</v>
      </c>
      <c r="J2" t="s">
        <v>625</v>
      </c>
    </row>
    <row r="3" spans="1:10">
      <c r="A3" t="s">
        <v>784</v>
      </c>
      <c r="B3" t="s">
        <v>301</v>
      </c>
      <c r="C3" t="s">
        <v>623</v>
      </c>
      <c r="D3" t="s">
        <v>33</v>
      </c>
      <c r="E3" t="s">
        <v>132</v>
      </c>
      <c r="F3" s="177">
        <v>45108</v>
      </c>
      <c r="G3" s="177">
        <v>45473</v>
      </c>
      <c r="H3" s="684">
        <v>1659.57</v>
      </c>
      <c r="I3" t="s">
        <v>624</v>
      </c>
      <c r="J3" t="s">
        <v>625</v>
      </c>
    </row>
    <row r="4" spans="1:10">
      <c r="A4" t="s">
        <v>626</v>
      </c>
      <c r="B4" t="s">
        <v>51</v>
      </c>
      <c r="C4" t="s">
        <v>627</v>
      </c>
      <c r="D4" t="s">
        <v>127</v>
      </c>
      <c r="E4" t="s">
        <v>132</v>
      </c>
      <c r="F4" s="177">
        <v>44743</v>
      </c>
      <c r="G4" s="177">
        <v>45107</v>
      </c>
      <c r="H4" s="684">
        <v>1595.74</v>
      </c>
      <c r="I4" t="s">
        <v>624</v>
      </c>
      <c r="J4" t="s">
        <v>625</v>
      </c>
    </row>
    <row r="5" spans="1:10">
      <c r="A5" t="s">
        <v>626</v>
      </c>
      <c r="B5" t="s">
        <v>51</v>
      </c>
      <c r="C5" t="s">
        <v>627</v>
      </c>
      <c r="D5" t="s">
        <v>127</v>
      </c>
      <c r="E5" t="s">
        <v>132</v>
      </c>
      <c r="F5" s="177">
        <v>45108</v>
      </c>
      <c r="G5" s="177">
        <v>45473</v>
      </c>
      <c r="H5" s="684">
        <v>1659.57</v>
      </c>
      <c r="I5" t="s">
        <v>624</v>
      </c>
      <c r="J5" t="s">
        <v>625</v>
      </c>
    </row>
    <row r="6" spans="1:10">
      <c r="A6" t="s">
        <v>628</v>
      </c>
      <c r="B6" t="s">
        <v>50</v>
      </c>
      <c r="C6" t="s">
        <v>627</v>
      </c>
      <c r="D6" t="s">
        <v>33</v>
      </c>
      <c r="E6" t="s">
        <v>132</v>
      </c>
      <c r="F6" s="177">
        <v>44743</v>
      </c>
      <c r="G6" s="177">
        <v>45107</v>
      </c>
      <c r="H6" s="684">
        <v>1595.74</v>
      </c>
      <c r="I6" t="s">
        <v>624</v>
      </c>
      <c r="J6" t="s">
        <v>625</v>
      </c>
    </row>
    <row r="7" spans="1:10">
      <c r="A7" t="s">
        <v>628</v>
      </c>
      <c r="B7" t="s">
        <v>50</v>
      </c>
      <c r="C7" t="s">
        <v>627</v>
      </c>
      <c r="D7" t="s">
        <v>33</v>
      </c>
      <c r="E7" t="s">
        <v>132</v>
      </c>
      <c r="F7" s="177">
        <v>45108</v>
      </c>
      <c r="G7" s="177">
        <v>45473</v>
      </c>
      <c r="H7" s="684">
        <v>1659.57</v>
      </c>
      <c r="I7" t="s">
        <v>624</v>
      </c>
      <c r="J7" t="s">
        <v>625</v>
      </c>
    </row>
    <row r="8" spans="1:10">
      <c r="A8" t="s">
        <v>629</v>
      </c>
      <c r="B8" t="s">
        <v>53</v>
      </c>
      <c r="C8" t="s">
        <v>630</v>
      </c>
      <c r="D8" t="s">
        <v>127</v>
      </c>
      <c r="E8" t="s">
        <v>132</v>
      </c>
      <c r="F8" s="177">
        <v>44743</v>
      </c>
      <c r="G8" s="177">
        <v>45107</v>
      </c>
      <c r="H8" s="684">
        <v>1595.74</v>
      </c>
      <c r="I8" t="s">
        <v>624</v>
      </c>
      <c r="J8" t="s">
        <v>625</v>
      </c>
    </row>
    <row r="9" spans="1:10">
      <c r="A9" t="s">
        <v>629</v>
      </c>
      <c r="B9" t="s">
        <v>53</v>
      </c>
      <c r="C9" t="s">
        <v>630</v>
      </c>
      <c r="D9" t="s">
        <v>127</v>
      </c>
      <c r="E9" t="s">
        <v>132</v>
      </c>
      <c r="F9" s="177">
        <v>45108</v>
      </c>
      <c r="G9" s="177">
        <v>45473</v>
      </c>
      <c r="H9" s="684">
        <v>1659.57</v>
      </c>
      <c r="I9" t="s">
        <v>624</v>
      </c>
      <c r="J9" t="s">
        <v>625</v>
      </c>
    </row>
    <row r="10" spans="1:10">
      <c r="A10" t="s">
        <v>631</v>
      </c>
      <c r="B10" t="s">
        <v>52</v>
      </c>
      <c r="C10" t="s">
        <v>630</v>
      </c>
      <c r="D10" t="s">
        <v>33</v>
      </c>
      <c r="E10" t="s">
        <v>132</v>
      </c>
      <c r="F10" s="177">
        <v>44743</v>
      </c>
      <c r="G10" s="177">
        <v>45107</v>
      </c>
      <c r="H10" s="684">
        <v>1595.74</v>
      </c>
      <c r="I10" t="s">
        <v>624</v>
      </c>
      <c r="J10" t="s">
        <v>625</v>
      </c>
    </row>
    <row r="11" spans="1:10">
      <c r="A11" t="s">
        <v>631</v>
      </c>
      <c r="B11" t="s">
        <v>52</v>
      </c>
      <c r="C11" t="s">
        <v>630</v>
      </c>
      <c r="D11" t="s">
        <v>33</v>
      </c>
      <c r="E11" t="s">
        <v>132</v>
      </c>
      <c r="F11" s="177">
        <v>45108</v>
      </c>
      <c r="G11" s="177">
        <v>45473</v>
      </c>
      <c r="H11" s="684">
        <v>1659.57</v>
      </c>
      <c r="I11" t="s">
        <v>624</v>
      </c>
      <c r="J11" t="s">
        <v>625</v>
      </c>
    </row>
    <row r="12" spans="1:10">
      <c r="A12" t="s">
        <v>632</v>
      </c>
      <c r="B12" t="s">
        <v>473</v>
      </c>
      <c r="C12" t="s">
        <v>623</v>
      </c>
      <c r="D12" t="s">
        <v>127</v>
      </c>
      <c r="E12" t="s">
        <v>133</v>
      </c>
      <c r="F12" s="177">
        <v>44743</v>
      </c>
      <c r="G12" s="177">
        <v>45107</v>
      </c>
      <c r="H12" s="684">
        <v>36.299999999999997</v>
      </c>
      <c r="I12" t="s">
        <v>624</v>
      </c>
      <c r="J12" t="s">
        <v>625</v>
      </c>
    </row>
    <row r="13" spans="1:10">
      <c r="A13" t="s">
        <v>632</v>
      </c>
      <c r="B13" t="s">
        <v>473</v>
      </c>
      <c r="C13" t="s">
        <v>623</v>
      </c>
      <c r="D13" t="s">
        <v>127</v>
      </c>
      <c r="E13" t="s">
        <v>133</v>
      </c>
      <c r="F13" s="177">
        <v>45108</v>
      </c>
      <c r="G13" s="177">
        <v>45473</v>
      </c>
      <c r="H13" s="684">
        <v>37.75</v>
      </c>
      <c r="I13" t="s">
        <v>624</v>
      </c>
      <c r="J13" t="s">
        <v>625</v>
      </c>
    </row>
    <row r="14" spans="1:10">
      <c r="A14" t="s">
        <v>633</v>
      </c>
      <c r="B14" t="s">
        <v>472</v>
      </c>
      <c r="C14" t="s">
        <v>623</v>
      </c>
      <c r="D14" t="s">
        <v>33</v>
      </c>
      <c r="E14" t="s">
        <v>133</v>
      </c>
      <c r="F14" s="177">
        <v>44743</v>
      </c>
      <c r="G14" s="177">
        <v>45107</v>
      </c>
      <c r="H14" s="684">
        <v>36.299999999999997</v>
      </c>
      <c r="I14" t="s">
        <v>624</v>
      </c>
      <c r="J14" t="s">
        <v>625</v>
      </c>
    </row>
    <row r="15" spans="1:10">
      <c r="A15" t="s">
        <v>633</v>
      </c>
      <c r="B15" t="s">
        <v>472</v>
      </c>
      <c r="C15" t="s">
        <v>623</v>
      </c>
      <c r="D15" t="s">
        <v>33</v>
      </c>
      <c r="E15" t="s">
        <v>133</v>
      </c>
      <c r="F15" s="177">
        <v>45108</v>
      </c>
      <c r="G15" s="177">
        <v>45473</v>
      </c>
      <c r="H15" s="684">
        <v>37.75</v>
      </c>
      <c r="I15" t="s">
        <v>624</v>
      </c>
      <c r="J15" t="s">
        <v>625</v>
      </c>
    </row>
    <row r="16" spans="1:10">
      <c r="A16" t="s">
        <v>634</v>
      </c>
      <c r="B16" t="s">
        <v>468</v>
      </c>
      <c r="C16" t="s">
        <v>627</v>
      </c>
      <c r="D16" t="s">
        <v>127</v>
      </c>
      <c r="E16" t="s">
        <v>133</v>
      </c>
      <c r="F16" s="177">
        <v>44743</v>
      </c>
      <c r="G16" s="177">
        <v>45107</v>
      </c>
      <c r="H16" s="684">
        <v>36.299999999999997</v>
      </c>
      <c r="I16" t="s">
        <v>624</v>
      </c>
      <c r="J16" t="s">
        <v>625</v>
      </c>
    </row>
    <row r="17" spans="1:10">
      <c r="A17" t="s">
        <v>634</v>
      </c>
      <c r="B17" t="s">
        <v>468</v>
      </c>
      <c r="C17" t="s">
        <v>627</v>
      </c>
      <c r="D17" t="s">
        <v>127</v>
      </c>
      <c r="E17" t="s">
        <v>133</v>
      </c>
      <c r="F17" s="177">
        <v>45108</v>
      </c>
      <c r="G17" s="177">
        <v>45473</v>
      </c>
      <c r="H17" s="684">
        <v>37.75</v>
      </c>
      <c r="I17" t="s">
        <v>624</v>
      </c>
      <c r="J17" t="s">
        <v>625</v>
      </c>
    </row>
    <row r="18" spans="1:10">
      <c r="A18" t="s">
        <v>635</v>
      </c>
      <c r="B18" t="s">
        <v>469</v>
      </c>
      <c r="C18" t="s">
        <v>627</v>
      </c>
      <c r="D18" t="s">
        <v>33</v>
      </c>
      <c r="E18" t="s">
        <v>133</v>
      </c>
      <c r="F18" s="177">
        <v>44743</v>
      </c>
      <c r="G18" s="177">
        <v>45107</v>
      </c>
      <c r="H18" s="684">
        <v>36.299999999999997</v>
      </c>
      <c r="I18" t="s">
        <v>624</v>
      </c>
      <c r="J18" t="s">
        <v>625</v>
      </c>
    </row>
    <row r="19" spans="1:10">
      <c r="A19" t="s">
        <v>635</v>
      </c>
      <c r="B19" t="s">
        <v>469</v>
      </c>
      <c r="C19" t="s">
        <v>627</v>
      </c>
      <c r="D19" t="s">
        <v>33</v>
      </c>
      <c r="E19" t="s">
        <v>133</v>
      </c>
      <c r="F19" s="177">
        <v>45108</v>
      </c>
      <c r="G19" s="177">
        <v>45473</v>
      </c>
      <c r="H19" s="684">
        <v>37.75</v>
      </c>
      <c r="I19" t="s">
        <v>624</v>
      </c>
      <c r="J19" t="s">
        <v>625</v>
      </c>
    </row>
    <row r="20" spans="1:10">
      <c r="A20" t="s">
        <v>636</v>
      </c>
      <c r="B20" t="s">
        <v>470</v>
      </c>
      <c r="C20" t="s">
        <v>630</v>
      </c>
      <c r="D20" t="s">
        <v>127</v>
      </c>
      <c r="E20" t="s">
        <v>133</v>
      </c>
      <c r="F20" s="177">
        <v>44743</v>
      </c>
      <c r="G20" s="177">
        <v>45107</v>
      </c>
      <c r="H20" s="684">
        <v>36.299999999999997</v>
      </c>
      <c r="I20" t="s">
        <v>624</v>
      </c>
      <c r="J20" t="s">
        <v>625</v>
      </c>
    </row>
    <row r="21" spans="1:10">
      <c r="A21" t="s">
        <v>636</v>
      </c>
      <c r="B21" t="s">
        <v>470</v>
      </c>
      <c r="C21" t="s">
        <v>630</v>
      </c>
      <c r="D21" t="s">
        <v>127</v>
      </c>
      <c r="E21" t="s">
        <v>133</v>
      </c>
      <c r="F21" s="177">
        <v>45108</v>
      </c>
      <c r="G21" s="177">
        <v>45473</v>
      </c>
      <c r="H21" s="684">
        <v>37.75</v>
      </c>
      <c r="I21" t="s">
        <v>624</v>
      </c>
      <c r="J21" t="s">
        <v>625</v>
      </c>
    </row>
    <row r="22" spans="1:10">
      <c r="A22" t="s">
        <v>637</v>
      </c>
      <c r="B22" t="s">
        <v>471</v>
      </c>
      <c r="C22" t="s">
        <v>630</v>
      </c>
      <c r="D22" t="s">
        <v>33</v>
      </c>
      <c r="E22" t="s">
        <v>133</v>
      </c>
      <c r="F22" s="177">
        <v>44743</v>
      </c>
      <c r="G22" s="177">
        <v>45107</v>
      </c>
      <c r="H22" s="684">
        <v>36.299999999999997</v>
      </c>
      <c r="I22" t="s">
        <v>624</v>
      </c>
      <c r="J22" t="s">
        <v>625</v>
      </c>
    </row>
    <row r="23" spans="1:10">
      <c r="A23" t="s">
        <v>637</v>
      </c>
      <c r="B23" t="s">
        <v>471</v>
      </c>
      <c r="C23" t="s">
        <v>630</v>
      </c>
      <c r="D23" t="s">
        <v>33</v>
      </c>
      <c r="E23" t="s">
        <v>133</v>
      </c>
      <c r="F23" s="177">
        <v>45108</v>
      </c>
      <c r="G23" s="177">
        <v>45473</v>
      </c>
      <c r="H23" s="684">
        <v>37.75</v>
      </c>
      <c r="I23" t="s">
        <v>624</v>
      </c>
      <c r="J23" t="s">
        <v>625</v>
      </c>
    </row>
    <row r="24" spans="1:10">
      <c r="A24" t="s">
        <v>785</v>
      </c>
      <c r="B24" t="s">
        <v>305</v>
      </c>
      <c r="C24" t="s">
        <v>623</v>
      </c>
      <c r="D24" t="s">
        <v>33</v>
      </c>
      <c r="E24" t="s">
        <v>132</v>
      </c>
      <c r="F24" s="177">
        <v>44743</v>
      </c>
      <c r="G24" s="177">
        <v>45107</v>
      </c>
      <c r="H24" s="684">
        <v>1595.74</v>
      </c>
      <c r="I24" t="s">
        <v>624</v>
      </c>
      <c r="J24" t="s">
        <v>625</v>
      </c>
    </row>
    <row r="25" spans="1:10">
      <c r="A25" t="s">
        <v>785</v>
      </c>
      <c r="B25" t="s">
        <v>305</v>
      </c>
      <c r="C25" t="s">
        <v>623</v>
      </c>
      <c r="D25" t="s">
        <v>33</v>
      </c>
      <c r="E25" t="s">
        <v>132</v>
      </c>
      <c r="F25" s="177">
        <v>45108</v>
      </c>
      <c r="G25" s="177">
        <v>45473</v>
      </c>
      <c r="H25" s="684">
        <v>1659.57</v>
      </c>
      <c r="I25" t="s">
        <v>624</v>
      </c>
      <c r="J25" t="s">
        <v>625</v>
      </c>
    </row>
    <row r="26" spans="1:10">
      <c r="A26" t="s">
        <v>638</v>
      </c>
      <c r="B26" t="s">
        <v>59</v>
      </c>
      <c r="C26" t="s">
        <v>627</v>
      </c>
      <c r="D26" t="s">
        <v>127</v>
      </c>
      <c r="E26" t="s">
        <v>132</v>
      </c>
      <c r="F26" s="177">
        <v>44743</v>
      </c>
      <c r="G26" s="177">
        <v>45107</v>
      </c>
      <c r="H26" s="684">
        <v>1595.74</v>
      </c>
      <c r="I26" t="s">
        <v>624</v>
      </c>
      <c r="J26" t="s">
        <v>625</v>
      </c>
    </row>
    <row r="27" spans="1:10">
      <c r="A27" t="s">
        <v>638</v>
      </c>
      <c r="B27" t="s">
        <v>59</v>
      </c>
      <c r="C27" t="s">
        <v>627</v>
      </c>
      <c r="D27" t="s">
        <v>127</v>
      </c>
      <c r="E27" t="s">
        <v>132</v>
      </c>
      <c r="F27" s="177">
        <v>45108</v>
      </c>
      <c r="G27" s="177">
        <v>45473</v>
      </c>
      <c r="H27" s="684">
        <v>1659.57</v>
      </c>
      <c r="I27" t="s">
        <v>624</v>
      </c>
      <c r="J27" t="s">
        <v>625</v>
      </c>
    </row>
    <row r="28" spans="1:10">
      <c r="A28" t="s">
        <v>639</v>
      </c>
      <c r="B28" t="s">
        <v>58</v>
      </c>
      <c r="C28" t="s">
        <v>627</v>
      </c>
      <c r="D28" t="s">
        <v>33</v>
      </c>
      <c r="E28" t="s">
        <v>132</v>
      </c>
      <c r="F28" s="177">
        <v>44743</v>
      </c>
      <c r="G28" s="177">
        <v>45107</v>
      </c>
      <c r="H28" s="684">
        <v>1595.74</v>
      </c>
      <c r="I28" t="s">
        <v>624</v>
      </c>
      <c r="J28" t="s">
        <v>625</v>
      </c>
    </row>
    <row r="29" spans="1:10">
      <c r="A29" t="s">
        <v>639</v>
      </c>
      <c r="B29" t="s">
        <v>58</v>
      </c>
      <c r="C29" t="s">
        <v>627</v>
      </c>
      <c r="D29" t="s">
        <v>33</v>
      </c>
      <c r="E29" t="s">
        <v>132</v>
      </c>
      <c r="F29" s="177">
        <v>45108</v>
      </c>
      <c r="G29" s="177">
        <v>45473</v>
      </c>
      <c r="H29" s="684">
        <v>1659.57</v>
      </c>
      <c r="I29" t="s">
        <v>624</v>
      </c>
      <c r="J29" t="s">
        <v>625</v>
      </c>
    </row>
    <row r="30" spans="1:10">
      <c r="A30" t="s">
        <v>640</v>
      </c>
      <c r="B30" t="s">
        <v>61</v>
      </c>
      <c r="C30" t="s">
        <v>630</v>
      </c>
      <c r="D30" t="s">
        <v>127</v>
      </c>
      <c r="E30" t="s">
        <v>132</v>
      </c>
      <c r="F30" s="177">
        <v>44743</v>
      </c>
      <c r="G30" s="177">
        <v>45107</v>
      </c>
      <c r="H30" s="684">
        <v>1595.74</v>
      </c>
      <c r="I30" t="s">
        <v>624</v>
      </c>
      <c r="J30" t="s">
        <v>625</v>
      </c>
    </row>
    <row r="31" spans="1:10">
      <c r="A31" t="s">
        <v>640</v>
      </c>
      <c r="B31" t="s">
        <v>61</v>
      </c>
      <c r="C31" t="s">
        <v>630</v>
      </c>
      <c r="D31" t="s">
        <v>127</v>
      </c>
      <c r="E31" t="s">
        <v>132</v>
      </c>
      <c r="F31" s="177">
        <v>45108</v>
      </c>
      <c r="G31" s="177">
        <v>45473</v>
      </c>
      <c r="H31" s="684">
        <v>1659.57</v>
      </c>
      <c r="I31" t="s">
        <v>624</v>
      </c>
      <c r="J31" t="s">
        <v>625</v>
      </c>
    </row>
    <row r="32" spans="1:10">
      <c r="A32" t="s">
        <v>641</v>
      </c>
      <c r="B32" t="s">
        <v>60</v>
      </c>
      <c r="C32" t="s">
        <v>630</v>
      </c>
      <c r="D32" t="s">
        <v>33</v>
      </c>
      <c r="E32" t="s">
        <v>132</v>
      </c>
      <c r="F32" s="177">
        <v>44743</v>
      </c>
      <c r="G32" s="177">
        <v>45107</v>
      </c>
      <c r="H32" s="684">
        <v>1595.74</v>
      </c>
      <c r="I32" t="s">
        <v>624</v>
      </c>
      <c r="J32" t="s">
        <v>625</v>
      </c>
    </row>
    <row r="33" spans="1:10">
      <c r="A33" t="s">
        <v>641</v>
      </c>
      <c r="B33" t="s">
        <v>60</v>
      </c>
      <c r="C33" t="s">
        <v>630</v>
      </c>
      <c r="D33" t="s">
        <v>33</v>
      </c>
      <c r="E33" t="s">
        <v>132</v>
      </c>
      <c r="F33" s="177">
        <v>45108</v>
      </c>
      <c r="G33" s="177">
        <v>45473</v>
      </c>
      <c r="H33" s="684">
        <v>1659.57</v>
      </c>
      <c r="I33" t="s">
        <v>624</v>
      </c>
      <c r="J33" t="s">
        <v>625</v>
      </c>
    </row>
    <row r="34" spans="1:10">
      <c r="A34" t="s">
        <v>642</v>
      </c>
      <c r="B34" t="s">
        <v>307</v>
      </c>
      <c r="C34" t="s">
        <v>623</v>
      </c>
      <c r="D34" t="s">
        <v>33</v>
      </c>
      <c r="E34" t="s">
        <v>133</v>
      </c>
      <c r="F34" s="177">
        <v>44743</v>
      </c>
      <c r="G34" s="177">
        <v>45107</v>
      </c>
      <c r="H34" s="684">
        <v>18.25</v>
      </c>
      <c r="I34" t="s">
        <v>624</v>
      </c>
      <c r="J34" t="s">
        <v>625</v>
      </c>
    </row>
    <row r="35" spans="1:10">
      <c r="A35" t="s">
        <v>642</v>
      </c>
      <c r="B35" t="s">
        <v>307</v>
      </c>
      <c r="C35" t="s">
        <v>623</v>
      </c>
      <c r="D35" t="s">
        <v>33</v>
      </c>
      <c r="E35" t="s">
        <v>133</v>
      </c>
      <c r="F35" s="177">
        <v>45108</v>
      </c>
      <c r="G35" s="177">
        <v>45473</v>
      </c>
      <c r="H35" s="684">
        <v>18.98</v>
      </c>
      <c r="I35" t="s">
        <v>624</v>
      </c>
      <c r="J35" t="s">
        <v>625</v>
      </c>
    </row>
    <row r="36" spans="1:10">
      <c r="A36" t="s">
        <v>643</v>
      </c>
      <c r="B36" t="s">
        <v>63</v>
      </c>
      <c r="C36" t="s">
        <v>627</v>
      </c>
      <c r="D36" t="s">
        <v>127</v>
      </c>
      <c r="E36" t="s">
        <v>133</v>
      </c>
      <c r="F36" s="177">
        <v>44743</v>
      </c>
      <c r="G36" s="177">
        <v>45107</v>
      </c>
      <c r="H36" s="684">
        <v>18.25</v>
      </c>
      <c r="I36" t="s">
        <v>624</v>
      </c>
      <c r="J36" t="s">
        <v>625</v>
      </c>
    </row>
    <row r="37" spans="1:10">
      <c r="A37" t="s">
        <v>643</v>
      </c>
      <c r="B37" t="s">
        <v>63</v>
      </c>
      <c r="C37" t="s">
        <v>627</v>
      </c>
      <c r="D37" t="s">
        <v>127</v>
      </c>
      <c r="E37" t="s">
        <v>133</v>
      </c>
      <c r="F37" s="177">
        <v>45108</v>
      </c>
      <c r="G37" s="177">
        <v>45473</v>
      </c>
      <c r="H37" s="684">
        <v>18.98</v>
      </c>
      <c r="I37" t="s">
        <v>624</v>
      </c>
      <c r="J37" t="s">
        <v>625</v>
      </c>
    </row>
    <row r="38" spans="1:10">
      <c r="A38" t="s">
        <v>644</v>
      </c>
      <c r="B38" t="s">
        <v>62</v>
      </c>
      <c r="C38" t="s">
        <v>627</v>
      </c>
      <c r="D38" t="s">
        <v>33</v>
      </c>
      <c r="E38" t="s">
        <v>133</v>
      </c>
      <c r="F38" s="177">
        <v>44743</v>
      </c>
      <c r="G38" s="177">
        <v>45107</v>
      </c>
      <c r="H38" s="684">
        <v>18.25</v>
      </c>
      <c r="I38" t="s">
        <v>624</v>
      </c>
      <c r="J38" t="s">
        <v>625</v>
      </c>
    </row>
    <row r="39" spans="1:10">
      <c r="A39" t="s">
        <v>644</v>
      </c>
      <c r="B39" t="s">
        <v>62</v>
      </c>
      <c r="C39" t="s">
        <v>627</v>
      </c>
      <c r="D39" t="s">
        <v>33</v>
      </c>
      <c r="E39" t="s">
        <v>133</v>
      </c>
      <c r="F39" s="177">
        <v>45108</v>
      </c>
      <c r="G39" s="177">
        <v>45473</v>
      </c>
      <c r="H39" s="684">
        <v>18.98</v>
      </c>
      <c r="I39" t="s">
        <v>624</v>
      </c>
      <c r="J39" t="s">
        <v>625</v>
      </c>
    </row>
    <row r="40" spans="1:10">
      <c r="A40" t="s">
        <v>645</v>
      </c>
      <c r="B40" t="s">
        <v>65</v>
      </c>
      <c r="C40" t="s">
        <v>630</v>
      </c>
      <c r="D40" t="s">
        <v>127</v>
      </c>
      <c r="E40" t="s">
        <v>133</v>
      </c>
      <c r="F40" s="177">
        <v>44743</v>
      </c>
      <c r="G40" s="177">
        <v>45107</v>
      </c>
      <c r="H40" s="684">
        <v>18.25</v>
      </c>
      <c r="I40" t="s">
        <v>624</v>
      </c>
      <c r="J40" t="s">
        <v>625</v>
      </c>
    </row>
    <row r="41" spans="1:10">
      <c r="A41" t="s">
        <v>645</v>
      </c>
      <c r="B41" t="s">
        <v>65</v>
      </c>
      <c r="C41" t="s">
        <v>630</v>
      </c>
      <c r="D41" t="s">
        <v>127</v>
      </c>
      <c r="E41" t="s">
        <v>133</v>
      </c>
      <c r="F41" s="177">
        <v>45108</v>
      </c>
      <c r="G41" s="177">
        <v>45473</v>
      </c>
      <c r="H41" s="684">
        <v>18.98</v>
      </c>
      <c r="I41" t="s">
        <v>624</v>
      </c>
      <c r="J41" t="s">
        <v>625</v>
      </c>
    </row>
    <row r="42" spans="1:10">
      <c r="A42" t="s">
        <v>646</v>
      </c>
      <c r="B42" t="s">
        <v>64</v>
      </c>
      <c r="C42" t="s">
        <v>630</v>
      </c>
      <c r="D42" t="s">
        <v>33</v>
      </c>
      <c r="E42" t="s">
        <v>133</v>
      </c>
      <c r="F42" s="177">
        <v>44743</v>
      </c>
      <c r="G42" s="177">
        <v>45107</v>
      </c>
      <c r="H42" s="684">
        <v>18.25</v>
      </c>
      <c r="I42" t="s">
        <v>624</v>
      </c>
      <c r="J42" t="s">
        <v>625</v>
      </c>
    </row>
    <row r="43" spans="1:10">
      <c r="A43" t="s">
        <v>646</v>
      </c>
      <c r="B43" t="s">
        <v>64</v>
      </c>
      <c r="C43" t="s">
        <v>630</v>
      </c>
      <c r="D43" t="s">
        <v>33</v>
      </c>
      <c r="E43" t="s">
        <v>133</v>
      </c>
      <c r="F43" s="177">
        <v>45108</v>
      </c>
      <c r="G43" s="177">
        <v>45473</v>
      </c>
      <c r="H43" s="684">
        <v>18.98</v>
      </c>
      <c r="I43" t="s">
        <v>624</v>
      </c>
      <c r="J43" t="s">
        <v>625</v>
      </c>
    </row>
    <row r="44" spans="1:10">
      <c r="A44" t="s">
        <v>786</v>
      </c>
      <c r="B44" t="s">
        <v>37</v>
      </c>
      <c r="C44" t="s">
        <v>627</v>
      </c>
      <c r="D44" t="s">
        <v>127</v>
      </c>
      <c r="E44" t="s">
        <v>134</v>
      </c>
      <c r="F44" s="177">
        <v>44743</v>
      </c>
      <c r="G44" s="177">
        <v>45107</v>
      </c>
      <c r="H44" s="684">
        <v>1089</v>
      </c>
      <c r="I44" t="s">
        <v>787</v>
      </c>
      <c r="J44" t="s">
        <v>625</v>
      </c>
    </row>
    <row r="45" spans="1:10">
      <c r="A45" t="s">
        <v>786</v>
      </c>
      <c r="B45" t="s">
        <v>37</v>
      </c>
      <c r="C45" t="s">
        <v>627</v>
      </c>
      <c r="D45" t="s">
        <v>127</v>
      </c>
      <c r="E45" t="s">
        <v>134</v>
      </c>
      <c r="F45" s="177">
        <v>45108</v>
      </c>
      <c r="G45" s="177">
        <v>45473</v>
      </c>
      <c r="H45" s="684">
        <v>1133</v>
      </c>
      <c r="I45" t="s">
        <v>787</v>
      </c>
      <c r="J45" t="s">
        <v>625</v>
      </c>
    </row>
    <row r="46" spans="1:10">
      <c r="A46" t="s">
        <v>788</v>
      </c>
      <c r="B46" t="s">
        <v>40</v>
      </c>
      <c r="C46" t="s">
        <v>627</v>
      </c>
      <c r="D46" t="s">
        <v>127</v>
      </c>
      <c r="E46" t="s">
        <v>134</v>
      </c>
      <c r="F46" s="177">
        <v>44743</v>
      </c>
      <c r="G46" s="177">
        <v>45107</v>
      </c>
      <c r="H46" s="684">
        <v>1089</v>
      </c>
      <c r="I46" t="s">
        <v>789</v>
      </c>
      <c r="J46" t="s">
        <v>625</v>
      </c>
    </row>
    <row r="47" spans="1:10">
      <c r="A47" t="s">
        <v>788</v>
      </c>
      <c r="B47" t="s">
        <v>40</v>
      </c>
      <c r="C47" t="s">
        <v>627</v>
      </c>
      <c r="D47" t="s">
        <v>127</v>
      </c>
      <c r="E47" t="s">
        <v>134</v>
      </c>
      <c r="F47" s="177">
        <v>45108</v>
      </c>
      <c r="G47" s="177">
        <v>45473</v>
      </c>
      <c r="H47" s="684">
        <v>1133</v>
      </c>
      <c r="I47" t="s">
        <v>789</v>
      </c>
      <c r="J47" t="s">
        <v>625</v>
      </c>
    </row>
    <row r="48" spans="1:10">
      <c r="A48" t="s">
        <v>66</v>
      </c>
      <c r="B48" t="s">
        <v>324</v>
      </c>
      <c r="C48" t="s">
        <v>623</v>
      </c>
      <c r="D48" t="s">
        <v>33</v>
      </c>
      <c r="E48" t="s">
        <v>132</v>
      </c>
      <c r="F48" s="177">
        <v>44743</v>
      </c>
      <c r="G48" s="177">
        <v>45107</v>
      </c>
      <c r="H48" s="684">
        <v>474.49</v>
      </c>
      <c r="I48" t="s">
        <v>647</v>
      </c>
      <c r="J48" t="s">
        <v>625</v>
      </c>
    </row>
    <row r="49" spans="1:10">
      <c r="A49" t="s">
        <v>66</v>
      </c>
      <c r="B49" t="s">
        <v>324</v>
      </c>
      <c r="C49" t="s">
        <v>623</v>
      </c>
      <c r="D49" t="s">
        <v>33</v>
      </c>
      <c r="E49" t="s">
        <v>132</v>
      </c>
      <c r="F49" s="177">
        <v>45108</v>
      </c>
      <c r="G49" s="177">
        <v>45473</v>
      </c>
      <c r="H49" s="684">
        <v>493.47</v>
      </c>
      <c r="I49" t="s">
        <v>647</v>
      </c>
      <c r="J49" t="s">
        <v>625</v>
      </c>
    </row>
    <row r="50" spans="1:10">
      <c r="A50" t="s">
        <v>648</v>
      </c>
      <c r="B50" t="s">
        <v>68</v>
      </c>
      <c r="C50" t="s">
        <v>627</v>
      </c>
      <c r="D50" t="s">
        <v>127</v>
      </c>
      <c r="E50" t="s">
        <v>132</v>
      </c>
      <c r="F50" s="177">
        <v>44743</v>
      </c>
      <c r="G50" s="177">
        <v>45107</v>
      </c>
      <c r="H50" s="684">
        <v>474.49</v>
      </c>
      <c r="I50" t="s">
        <v>647</v>
      </c>
      <c r="J50" t="s">
        <v>625</v>
      </c>
    </row>
    <row r="51" spans="1:10">
      <c r="A51" t="s">
        <v>648</v>
      </c>
      <c r="B51" t="s">
        <v>68</v>
      </c>
      <c r="C51" t="s">
        <v>627</v>
      </c>
      <c r="D51" t="s">
        <v>127</v>
      </c>
      <c r="E51" t="s">
        <v>132</v>
      </c>
      <c r="F51" s="177">
        <v>45108</v>
      </c>
      <c r="G51" s="177">
        <v>45473</v>
      </c>
      <c r="H51" s="684">
        <v>493.47</v>
      </c>
      <c r="I51" t="s">
        <v>647</v>
      </c>
      <c r="J51" t="s">
        <v>625</v>
      </c>
    </row>
    <row r="52" spans="1:10">
      <c r="A52" t="s">
        <v>649</v>
      </c>
      <c r="B52" t="s">
        <v>67</v>
      </c>
      <c r="C52" t="s">
        <v>627</v>
      </c>
      <c r="D52" t="s">
        <v>33</v>
      </c>
      <c r="E52" t="s">
        <v>132</v>
      </c>
      <c r="F52" s="177">
        <v>44743</v>
      </c>
      <c r="G52" s="177">
        <v>45107</v>
      </c>
      <c r="H52" s="684">
        <v>474.49</v>
      </c>
      <c r="I52" t="s">
        <v>647</v>
      </c>
      <c r="J52" t="s">
        <v>625</v>
      </c>
    </row>
    <row r="53" spans="1:10">
      <c r="A53" t="s">
        <v>649</v>
      </c>
      <c r="B53" t="s">
        <v>67</v>
      </c>
      <c r="C53" t="s">
        <v>627</v>
      </c>
      <c r="D53" t="s">
        <v>33</v>
      </c>
      <c r="E53" t="s">
        <v>132</v>
      </c>
      <c r="F53" s="177">
        <v>45108</v>
      </c>
      <c r="G53" s="177">
        <v>45473</v>
      </c>
      <c r="H53" s="684">
        <v>493.47</v>
      </c>
      <c r="I53" t="s">
        <v>647</v>
      </c>
      <c r="J53" t="s">
        <v>625</v>
      </c>
    </row>
    <row r="54" spans="1:10">
      <c r="A54" t="s">
        <v>650</v>
      </c>
      <c r="B54" t="s">
        <v>70</v>
      </c>
      <c r="C54" t="s">
        <v>630</v>
      </c>
      <c r="D54" t="s">
        <v>127</v>
      </c>
      <c r="E54" t="s">
        <v>132</v>
      </c>
      <c r="F54" s="177">
        <v>44743</v>
      </c>
      <c r="G54" s="177">
        <v>45107</v>
      </c>
      <c r="H54" s="684">
        <v>474.49</v>
      </c>
      <c r="I54" t="s">
        <v>647</v>
      </c>
      <c r="J54" t="s">
        <v>625</v>
      </c>
    </row>
    <row r="55" spans="1:10">
      <c r="A55" t="s">
        <v>650</v>
      </c>
      <c r="B55" t="s">
        <v>70</v>
      </c>
      <c r="C55" t="s">
        <v>630</v>
      </c>
      <c r="D55" t="s">
        <v>127</v>
      </c>
      <c r="E55" t="s">
        <v>132</v>
      </c>
      <c r="F55" s="177">
        <v>45108</v>
      </c>
      <c r="G55" s="177">
        <v>45473</v>
      </c>
      <c r="H55" s="684">
        <v>493.47</v>
      </c>
      <c r="I55" t="s">
        <v>647</v>
      </c>
      <c r="J55" t="s">
        <v>625</v>
      </c>
    </row>
    <row r="56" spans="1:10">
      <c r="A56" t="s">
        <v>651</v>
      </c>
      <c r="B56" t="s">
        <v>69</v>
      </c>
      <c r="C56" t="s">
        <v>630</v>
      </c>
      <c r="D56" t="s">
        <v>33</v>
      </c>
      <c r="E56" t="s">
        <v>132</v>
      </c>
      <c r="F56" s="177">
        <v>44743</v>
      </c>
      <c r="G56" s="177">
        <v>45107</v>
      </c>
      <c r="H56" s="684">
        <v>474.49</v>
      </c>
      <c r="I56" t="s">
        <v>647</v>
      </c>
      <c r="J56" t="s">
        <v>625</v>
      </c>
    </row>
    <row r="57" spans="1:10">
      <c r="A57" t="s">
        <v>651</v>
      </c>
      <c r="B57" t="s">
        <v>69</v>
      </c>
      <c r="C57" t="s">
        <v>630</v>
      </c>
      <c r="D57" t="s">
        <v>33</v>
      </c>
      <c r="E57" t="s">
        <v>132</v>
      </c>
      <c r="F57" s="177">
        <v>45108</v>
      </c>
      <c r="G57" s="177">
        <v>45473</v>
      </c>
      <c r="H57" s="684">
        <v>493.47</v>
      </c>
      <c r="I57" t="s">
        <v>647</v>
      </c>
      <c r="J57" t="s">
        <v>625</v>
      </c>
    </row>
    <row r="58" spans="1:10">
      <c r="A58" t="s">
        <v>76</v>
      </c>
      <c r="B58" t="s">
        <v>328</v>
      </c>
      <c r="C58" t="s">
        <v>623</v>
      </c>
      <c r="D58" t="s">
        <v>33</v>
      </c>
      <c r="E58" t="s">
        <v>129</v>
      </c>
      <c r="F58" s="177">
        <v>44743</v>
      </c>
      <c r="G58" s="177">
        <v>45107</v>
      </c>
      <c r="H58" s="684">
        <v>65.37</v>
      </c>
      <c r="I58" t="s">
        <v>652</v>
      </c>
      <c r="J58" t="s">
        <v>625</v>
      </c>
    </row>
    <row r="59" spans="1:10">
      <c r="A59" t="s">
        <v>76</v>
      </c>
      <c r="B59" t="s">
        <v>328</v>
      </c>
      <c r="C59" t="s">
        <v>623</v>
      </c>
      <c r="D59" t="s">
        <v>33</v>
      </c>
      <c r="E59" t="s">
        <v>129</v>
      </c>
      <c r="F59" s="177">
        <v>45108</v>
      </c>
      <c r="G59" s="177">
        <v>45473</v>
      </c>
      <c r="H59" s="684">
        <v>67.98</v>
      </c>
      <c r="I59" t="s">
        <v>652</v>
      </c>
      <c r="J59" t="s">
        <v>625</v>
      </c>
    </row>
    <row r="60" spans="1:10">
      <c r="A60" t="s">
        <v>653</v>
      </c>
      <c r="B60" t="s">
        <v>78</v>
      </c>
      <c r="C60" t="s">
        <v>627</v>
      </c>
      <c r="D60" t="s">
        <v>127</v>
      </c>
      <c r="E60" t="s">
        <v>129</v>
      </c>
      <c r="F60" s="177">
        <v>44743</v>
      </c>
      <c r="G60" s="177">
        <v>45107</v>
      </c>
      <c r="H60" s="684">
        <v>65.37</v>
      </c>
      <c r="I60" t="s">
        <v>652</v>
      </c>
      <c r="J60" t="s">
        <v>625</v>
      </c>
    </row>
    <row r="61" spans="1:10">
      <c r="A61" t="s">
        <v>653</v>
      </c>
      <c r="B61" t="s">
        <v>78</v>
      </c>
      <c r="C61" t="s">
        <v>627</v>
      </c>
      <c r="D61" t="s">
        <v>127</v>
      </c>
      <c r="E61" t="s">
        <v>129</v>
      </c>
      <c r="F61" s="177">
        <v>45108</v>
      </c>
      <c r="G61" s="177">
        <v>45473</v>
      </c>
      <c r="H61" s="684">
        <v>67.98</v>
      </c>
      <c r="I61" t="s">
        <v>652</v>
      </c>
      <c r="J61" t="s">
        <v>625</v>
      </c>
    </row>
    <row r="62" spans="1:10">
      <c r="A62" t="s">
        <v>654</v>
      </c>
      <c r="B62" t="s">
        <v>77</v>
      </c>
      <c r="C62" t="s">
        <v>627</v>
      </c>
      <c r="D62" t="s">
        <v>33</v>
      </c>
      <c r="E62" t="s">
        <v>129</v>
      </c>
      <c r="F62" s="177">
        <v>44743</v>
      </c>
      <c r="G62" s="177">
        <v>45107</v>
      </c>
      <c r="H62" s="684">
        <v>65.37</v>
      </c>
      <c r="I62" t="s">
        <v>652</v>
      </c>
      <c r="J62" t="s">
        <v>625</v>
      </c>
    </row>
    <row r="63" spans="1:10">
      <c r="A63" t="s">
        <v>654</v>
      </c>
      <c r="B63" t="s">
        <v>77</v>
      </c>
      <c r="C63" t="s">
        <v>627</v>
      </c>
      <c r="D63" t="s">
        <v>33</v>
      </c>
      <c r="E63" t="s">
        <v>129</v>
      </c>
      <c r="F63" s="177">
        <v>45108</v>
      </c>
      <c r="G63" s="177">
        <v>45473</v>
      </c>
      <c r="H63" s="684">
        <v>67.98</v>
      </c>
      <c r="I63" t="s">
        <v>652</v>
      </c>
      <c r="J63" t="s">
        <v>625</v>
      </c>
    </row>
    <row r="64" spans="1:10">
      <c r="A64" t="s">
        <v>655</v>
      </c>
      <c r="B64" t="s">
        <v>80</v>
      </c>
      <c r="C64" t="s">
        <v>630</v>
      </c>
      <c r="D64" t="s">
        <v>127</v>
      </c>
      <c r="E64" t="s">
        <v>129</v>
      </c>
      <c r="F64" s="177">
        <v>44743</v>
      </c>
      <c r="G64" s="177">
        <v>45107</v>
      </c>
      <c r="H64" s="684">
        <v>65.37</v>
      </c>
      <c r="I64" t="s">
        <v>652</v>
      </c>
      <c r="J64" t="s">
        <v>625</v>
      </c>
    </row>
    <row r="65" spans="1:10">
      <c r="A65" t="s">
        <v>655</v>
      </c>
      <c r="B65" t="s">
        <v>80</v>
      </c>
      <c r="C65" t="s">
        <v>630</v>
      </c>
      <c r="D65" t="s">
        <v>127</v>
      </c>
      <c r="E65" t="s">
        <v>129</v>
      </c>
      <c r="F65" s="177">
        <v>45108</v>
      </c>
      <c r="G65" s="177">
        <v>45473</v>
      </c>
      <c r="H65" s="684">
        <v>67.98</v>
      </c>
      <c r="I65" t="s">
        <v>652</v>
      </c>
      <c r="J65" t="s">
        <v>625</v>
      </c>
    </row>
    <row r="66" spans="1:10">
      <c r="A66" t="s">
        <v>656</v>
      </c>
      <c r="B66" t="s">
        <v>79</v>
      </c>
      <c r="C66" t="s">
        <v>630</v>
      </c>
      <c r="D66" t="s">
        <v>33</v>
      </c>
      <c r="E66" t="s">
        <v>129</v>
      </c>
      <c r="F66" s="177">
        <v>44743</v>
      </c>
      <c r="G66" s="177">
        <v>45107</v>
      </c>
      <c r="H66" s="684">
        <v>65.37</v>
      </c>
      <c r="I66" t="s">
        <v>652</v>
      </c>
      <c r="J66" t="s">
        <v>625</v>
      </c>
    </row>
    <row r="67" spans="1:10">
      <c r="A67" t="s">
        <v>656</v>
      </c>
      <c r="B67" t="s">
        <v>79</v>
      </c>
      <c r="C67" t="s">
        <v>630</v>
      </c>
      <c r="D67" t="s">
        <v>33</v>
      </c>
      <c r="E67" t="s">
        <v>129</v>
      </c>
      <c r="F67" s="177">
        <v>45108</v>
      </c>
      <c r="G67" s="177">
        <v>45473</v>
      </c>
      <c r="H67" s="684">
        <v>67.98</v>
      </c>
      <c r="I67" t="s">
        <v>652</v>
      </c>
      <c r="J67" t="s">
        <v>625</v>
      </c>
    </row>
    <row r="68" spans="1:10">
      <c r="A68" t="s">
        <v>86</v>
      </c>
      <c r="B68" t="s">
        <v>332</v>
      </c>
      <c r="C68" t="s">
        <v>623</v>
      </c>
      <c r="D68" t="s">
        <v>33</v>
      </c>
      <c r="E68" t="s">
        <v>129</v>
      </c>
      <c r="F68" s="177">
        <v>44743</v>
      </c>
      <c r="G68" s="177">
        <v>45107</v>
      </c>
      <c r="H68" s="684">
        <v>67.78</v>
      </c>
      <c r="I68" t="s">
        <v>657</v>
      </c>
      <c r="J68" t="s">
        <v>625</v>
      </c>
    </row>
    <row r="69" spans="1:10">
      <c r="A69" t="s">
        <v>86</v>
      </c>
      <c r="B69" t="s">
        <v>332</v>
      </c>
      <c r="C69" t="s">
        <v>623</v>
      </c>
      <c r="D69" t="s">
        <v>33</v>
      </c>
      <c r="E69" t="s">
        <v>129</v>
      </c>
      <c r="F69" s="177">
        <v>45108</v>
      </c>
      <c r="G69" s="177">
        <v>45473</v>
      </c>
      <c r="H69" s="684">
        <v>70.489999999999995</v>
      </c>
      <c r="I69" t="s">
        <v>657</v>
      </c>
      <c r="J69" t="s">
        <v>625</v>
      </c>
    </row>
    <row r="70" spans="1:10">
      <c r="A70" t="s">
        <v>658</v>
      </c>
      <c r="B70" t="s">
        <v>411</v>
      </c>
      <c r="C70" t="s">
        <v>627</v>
      </c>
      <c r="D70" t="s">
        <v>127</v>
      </c>
      <c r="E70" t="s">
        <v>129</v>
      </c>
      <c r="F70" s="177">
        <v>44743</v>
      </c>
      <c r="G70" s="177">
        <v>45107</v>
      </c>
      <c r="H70" s="684">
        <v>67.78</v>
      </c>
      <c r="I70" t="s">
        <v>657</v>
      </c>
      <c r="J70" t="s">
        <v>625</v>
      </c>
    </row>
    <row r="71" spans="1:10">
      <c r="A71" t="s">
        <v>658</v>
      </c>
      <c r="B71" t="s">
        <v>411</v>
      </c>
      <c r="C71" t="s">
        <v>627</v>
      </c>
      <c r="D71" t="s">
        <v>127</v>
      </c>
      <c r="E71" t="s">
        <v>129</v>
      </c>
      <c r="F71" s="177">
        <v>45108</v>
      </c>
      <c r="G71" s="177">
        <v>45473</v>
      </c>
      <c r="H71" s="684">
        <v>70.489999999999995</v>
      </c>
      <c r="I71" t="s">
        <v>657</v>
      </c>
      <c r="J71" t="s">
        <v>625</v>
      </c>
    </row>
    <row r="72" spans="1:10">
      <c r="A72" t="s">
        <v>659</v>
      </c>
      <c r="B72" t="s">
        <v>410</v>
      </c>
      <c r="C72" t="s">
        <v>627</v>
      </c>
      <c r="D72" t="s">
        <v>33</v>
      </c>
      <c r="E72" t="s">
        <v>129</v>
      </c>
      <c r="F72" s="177">
        <v>44743</v>
      </c>
      <c r="G72" s="177">
        <v>45107</v>
      </c>
      <c r="H72" s="684">
        <v>67.78</v>
      </c>
      <c r="I72" t="s">
        <v>657</v>
      </c>
      <c r="J72" t="s">
        <v>625</v>
      </c>
    </row>
    <row r="73" spans="1:10">
      <c r="A73" t="s">
        <v>659</v>
      </c>
      <c r="B73" t="s">
        <v>410</v>
      </c>
      <c r="C73" t="s">
        <v>627</v>
      </c>
      <c r="D73" t="s">
        <v>33</v>
      </c>
      <c r="E73" t="s">
        <v>129</v>
      </c>
      <c r="F73" s="177">
        <v>45108</v>
      </c>
      <c r="G73" s="177">
        <v>45473</v>
      </c>
      <c r="H73" s="684">
        <v>70.489999999999995</v>
      </c>
      <c r="I73" t="s">
        <v>657</v>
      </c>
      <c r="J73" t="s">
        <v>625</v>
      </c>
    </row>
    <row r="74" spans="1:10">
      <c r="A74" t="s">
        <v>660</v>
      </c>
      <c r="B74" t="s">
        <v>413</v>
      </c>
      <c r="C74" t="s">
        <v>630</v>
      </c>
      <c r="D74" t="s">
        <v>127</v>
      </c>
      <c r="E74" t="s">
        <v>129</v>
      </c>
      <c r="F74" s="177">
        <v>44743</v>
      </c>
      <c r="G74" s="177">
        <v>45107</v>
      </c>
      <c r="H74" s="684">
        <v>67.78</v>
      </c>
      <c r="I74" t="s">
        <v>657</v>
      </c>
      <c r="J74" t="s">
        <v>625</v>
      </c>
    </row>
    <row r="75" spans="1:10">
      <c r="A75" t="s">
        <v>660</v>
      </c>
      <c r="B75" t="s">
        <v>413</v>
      </c>
      <c r="C75" t="s">
        <v>630</v>
      </c>
      <c r="D75" t="s">
        <v>127</v>
      </c>
      <c r="E75" t="s">
        <v>129</v>
      </c>
      <c r="F75" s="177">
        <v>45108</v>
      </c>
      <c r="G75" s="177">
        <v>45473</v>
      </c>
      <c r="H75" s="684">
        <v>70.489999999999995</v>
      </c>
      <c r="I75" t="s">
        <v>657</v>
      </c>
      <c r="J75" t="s">
        <v>625</v>
      </c>
    </row>
    <row r="76" spans="1:10">
      <c r="A76" t="s">
        <v>661</v>
      </c>
      <c r="B76" t="s">
        <v>412</v>
      </c>
      <c r="C76" t="s">
        <v>630</v>
      </c>
      <c r="D76" t="s">
        <v>33</v>
      </c>
      <c r="E76" t="s">
        <v>129</v>
      </c>
      <c r="F76" s="177">
        <v>44743</v>
      </c>
      <c r="G76" s="177">
        <v>45107</v>
      </c>
      <c r="H76" s="684">
        <v>67.78</v>
      </c>
      <c r="I76" t="s">
        <v>657</v>
      </c>
      <c r="J76" t="s">
        <v>625</v>
      </c>
    </row>
    <row r="77" spans="1:10">
      <c r="A77" t="s">
        <v>661</v>
      </c>
      <c r="B77" t="s">
        <v>412</v>
      </c>
      <c r="C77" t="s">
        <v>630</v>
      </c>
      <c r="D77" t="s">
        <v>33</v>
      </c>
      <c r="E77" t="s">
        <v>129</v>
      </c>
      <c r="F77" s="177">
        <v>45108</v>
      </c>
      <c r="G77" s="177">
        <v>45473</v>
      </c>
      <c r="H77" s="684">
        <v>70.489999999999995</v>
      </c>
      <c r="I77" t="s">
        <v>657</v>
      </c>
      <c r="J77" t="s">
        <v>625</v>
      </c>
    </row>
    <row r="78" spans="1:10">
      <c r="A78" t="s">
        <v>407</v>
      </c>
      <c r="B78" t="s">
        <v>347</v>
      </c>
      <c r="C78" t="s">
        <v>623</v>
      </c>
      <c r="D78" t="s">
        <v>33</v>
      </c>
      <c r="E78" t="s">
        <v>135</v>
      </c>
      <c r="F78" s="177">
        <v>44743</v>
      </c>
      <c r="G78" s="177">
        <v>45107</v>
      </c>
      <c r="H78" s="684">
        <v>1200</v>
      </c>
      <c r="I78" t="s">
        <v>647</v>
      </c>
      <c r="J78" t="s">
        <v>625</v>
      </c>
    </row>
    <row r="79" spans="1:10">
      <c r="A79" t="s">
        <v>407</v>
      </c>
      <c r="B79" t="s">
        <v>347</v>
      </c>
      <c r="C79" t="s">
        <v>623</v>
      </c>
      <c r="D79" t="s">
        <v>33</v>
      </c>
      <c r="E79" t="s">
        <v>135</v>
      </c>
      <c r="F79" s="177">
        <v>45108</v>
      </c>
      <c r="G79" s="177">
        <v>45473</v>
      </c>
      <c r="H79" s="684">
        <v>1200</v>
      </c>
      <c r="I79" t="s">
        <v>647</v>
      </c>
      <c r="J79" t="s">
        <v>625</v>
      </c>
    </row>
    <row r="80" spans="1:10">
      <c r="A80" t="s">
        <v>662</v>
      </c>
      <c r="B80" t="s">
        <v>336</v>
      </c>
      <c r="C80" t="s">
        <v>623</v>
      </c>
      <c r="D80" t="s">
        <v>33</v>
      </c>
      <c r="E80" t="s">
        <v>133</v>
      </c>
      <c r="F80" s="177">
        <v>44743</v>
      </c>
      <c r="G80" s="177">
        <v>45107</v>
      </c>
      <c r="H80" s="684">
        <v>21.48</v>
      </c>
      <c r="I80" t="s">
        <v>663</v>
      </c>
      <c r="J80" t="s">
        <v>625</v>
      </c>
    </row>
    <row r="81" spans="1:10">
      <c r="A81" t="s">
        <v>662</v>
      </c>
      <c r="B81" t="s">
        <v>336</v>
      </c>
      <c r="C81" t="s">
        <v>623</v>
      </c>
      <c r="D81" t="s">
        <v>33</v>
      </c>
      <c r="E81" t="s">
        <v>133</v>
      </c>
      <c r="F81" s="177">
        <v>45108</v>
      </c>
      <c r="G81" s="177">
        <v>45473</v>
      </c>
      <c r="H81" s="684">
        <v>22.34</v>
      </c>
      <c r="I81" t="s">
        <v>663</v>
      </c>
      <c r="J81" t="s">
        <v>625</v>
      </c>
    </row>
    <row r="82" spans="1:10">
      <c r="A82" t="s">
        <v>664</v>
      </c>
      <c r="B82" t="s">
        <v>427</v>
      </c>
      <c r="C82" t="s">
        <v>627</v>
      </c>
      <c r="D82" t="s">
        <v>127</v>
      </c>
      <c r="E82" t="s">
        <v>133</v>
      </c>
      <c r="F82" s="177">
        <v>44743</v>
      </c>
      <c r="G82" s="177">
        <v>45107</v>
      </c>
      <c r="H82" s="684">
        <v>21.48</v>
      </c>
      <c r="I82" t="s">
        <v>663</v>
      </c>
      <c r="J82" t="s">
        <v>625</v>
      </c>
    </row>
    <row r="83" spans="1:10">
      <c r="A83" t="s">
        <v>664</v>
      </c>
      <c r="B83" t="s">
        <v>427</v>
      </c>
      <c r="C83" t="s">
        <v>627</v>
      </c>
      <c r="D83" t="s">
        <v>127</v>
      </c>
      <c r="E83" t="s">
        <v>133</v>
      </c>
      <c r="F83" s="177">
        <v>45108</v>
      </c>
      <c r="G83" s="177">
        <v>45473</v>
      </c>
      <c r="H83" s="684">
        <v>22.34</v>
      </c>
      <c r="I83" t="s">
        <v>663</v>
      </c>
      <c r="J83" t="s">
        <v>625</v>
      </c>
    </row>
    <row r="84" spans="1:10">
      <c r="A84" t="s">
        <v>665</v>
      </c>
      <c r="B84" t="s">
        <v>426</v>
      </c>
      <c r="C84" t="s">
        <v>627</v>
      </c>
      <c r="D84" t="s">
        <v>33</v>
      </c>
      <c r="E84" t="s">
        <v>133</v>
      </c>
      <c r="F84" s="177">
        <v>44743</v>
      </c>
      <c r="G84" s="177">
        <v>45107</v>
      </c>
      <c r="H84" s="684">
        <v>21.48</v>
      </c>
      <c r="I84" t="s">
        <v>663</v>
      </c>
      <c r="J84" t="s">
        <v>625</v>
      </c>
    </row>
    <row r="85" spans="1:10">
      <c r="A85" t="s">
        <v>665</v>
      </c>
      <c r="B85" t="s">
        <v>426</v>
      </c>
      <c r="C85" t="s">
        <v>627</v>
      </c>
      <c r="D85" t="s">
        <v>33</v>
      </c>
      <c r="E85" t="s">
        <v>133</v>
      </c>
      <c r="F85" s="177">
        <v>45108</v>
      </c>
      <c r="G85" s="177">
        <v>45473</v>
      </c>
      <c r="H85" s="684">
        <v>22.34</v>
      </c>
      <c r="I85" t="s">
        <v>663</v>
      </c>
      <c r="J85" t="s">
        <v>625</v>
      </c>
    </row>
    <row r="86" spans="1:10">
      <c r="A86" t="s">
        <v>666</v>
      </c>
      <c r="B86" t="s">
        <v>480</v>
      </c>
      <c r="C86" t="s">
        <v>630</v>
      </c>
      <c r="D86" t="s">
        <v>127</v>
      </c>
      <c r="E86" t="s">
        <v>133</v>
      </c>
      <c r="F86" s="177">
        <v>44743</v>
      </c>
      <c r="G86" s="177">
        <v>45107</v>
      </c>
      <c r="H86" s="684">
        <v>21.48</v>
      </c>
      <c r="I86" t="s">
        <v>663</v>
      </c>
      <c r="J86" t="s">
        <v>625</v>
      </c>
    </row>
    <row r="87" spans="1:10">
      <c r="A87" t="s">
        <v>666</v>
      </c>
      <c r="B87" t="s">
        <v>480</v>
      </c>
      <c r="C87" t="s">
        <v>630</v>
      </c>
      <c r="D87" t="s">
        <v>127</v>
      </c>
      <c r="E87" t="s">
        <v>133</v>
      </c>
      <c r="F87" s="177">
        <v>45108</v>
      </c>
      <c r="G87" s="177">
        <v>45473</v>
      </c>
      <c r="H87" s="684">
        <v>22.34</v>
      </c>
      <c r="I87" t="s">
        <v>663</v>
      </c>
      <c r="J87" t="s">
        <v>625</v>
      </c>
    </row>
    <row r="88" spans="1:10">
      <c r="A88" t="s">
        <v>667</v>
      </c>
      <c r="B88" t="s">
        <v>479</v>
      </c>
      <c r="C88" t="s">
        <v>630</v>
      </c>
      <c r="D88" t="s">
        <v>33</v>
      </c>
      <c r="E88" t="s">
        <v>133</v>
      </c>
      <c r="F88" s="177">
        <v>44743</v>
      </c>
      <c r="G88" s="177">
        <v>45107</v>
      </c>
      <c r="H88" s="684">
        <v>21.48</v>
      </c>
      <c r="I88" t="s">
        <v>663</v>
      </c>
      <c r="J88" t="s">
        <v>625</v>
      </c>
    </row>
    <row r="89" spans="1:10">
      <c r="A89" t="s">
        <v>667</v>
      </c>
      <c r="B89" t="s">
        <v>479</v>
      </c>
      <c r="C89" t="s">
        <v>630</v>
      </c>
      <c r="D89" t="s">
        <v>33</v>
      </c>
      <c r="E89" t="s">
        <v>133</v>
      </c>
      <c r="F89" s="177">
        <v>45108</v>
      </c>
      <c r="G89" s="177">
        <v>45473</v>
      </c>
      <c r="H89" s="684">
        <v>22.34</v>
      </c>
      <c r="I89" t="s">
        <v>663</v>
      </c>
      <c r="J89" t="s">
        <v>625</v>
      </c>
    </row>
    <row r="90" spans="1:10">
      <c r="A90" t="s">
        <v>668</v>
      </c>
      <c r="B90" t="s">
        <v>98</v>
      </c>
      <c r="C90" t="s">
        <v>627</v>
      </c>
      <c r="D90" t="s">
        <v>127</v>
      </c>
      <c r="E90" t="s">
        <v>133</v>
      </c>
      <c r="F90" s="177">
        <v>44743</v>
      </c>
      <c r="G90" s="177">
        <v>45107</v>
      </c>
      <c r="H90" s="684">
        <v>10.34</v>
      </c>
      <c r="I90" t="s">
        <v>669</v>
      </c>
      <c r="J90" t="s">
        <v>625</v>
      </c>
    </row>
    <row r="91" spans="1:10">
      <c r="A91" t="s">
        <v>668</v>
      </c>
      <c r="B91" t="s">
        <v>98</v>
      </c>
      <c r="C91" t="s">
        <v>627</v>
      </c>
      <c r="D91" t="s">
        <v>127</v>
      </c>
      <c r="E91" t="s">
        <v>133</v>
      </c>
      <c r="F91" s="177">
        <v>45108</v>
      </c>
      <c r="G91" s="177">
        <v>45473</v>
      </c>
      <c r="H91" s="684">
        <v>0</v>
      </c>
      <c r="I91" t="s">
        <v>669</v>
      </c>
      <c r="J91" t="s">
        <v>625</v>
      </c>
    </row>
    <row r="92" spans="1:10">
      <c r="A92" t="s">
        <v>670</v>
      </c>
      <c r="B92" t="s">
        <v>100</v>
      </c>
      <c r="C92" t="s">
        <v>630</v>
      </c>
      <c r="D92" t="s">
        <v>127</v>
      </c>
      <c r="E92" t="s">
        <v>133</v>
      </c>
      <c r="F92" s="177">
        <v>44743</v>
      </c>
      <c r="G92" s="177">
        <v>45107</v>
      </c>
      <c r="H92" s="684">
        <v>10.34</v>
      </c>
      <c r="I92" t="s">
        <v>669</v>
      </c>
      <c r="J92" t="s">
        <v>625</v>
      </c>
    </row>
    <row r="93" spans="1:10">
      <c r="A93" t="s">
        <v>670</v>
      </c>
      <c r="B93" t="s">
        <v>100</v>
      </c>
      <c r="C93" t="s">
        <v>630</v>
      </c>
      <c r="D93" t="s">
        <v>127</v>
      </c>
      <c r="E93" t="s">
        <v>133</v>
      </c>
      <c r="F93" s="177">
        <v>45108</v>
      </c>
      <c r="G93" s="177">
        <v>45473</v>
      </c>
      <c r="H93" s="684">
        <v>0</v>
      </c>
      <c r="I93" t="s">
        <v>669</v>
      </c>
      <c r="J93" t="s">
        <v>625</v>
      </c>
    </row>
    <row r="94" spans="1:10">
      <c r="A94" t="s">
        <v>790</v>
      </c>
      <c r="B94" t="s">
        <v>351</v>
      </c>
      <c r="C94" t="s">
        <v>623</v>
      </c>
      <c r="D94" t="s">
        <v>33</v>
      </c>
      <c r="E94" t="s">
        <v>134</v>
      </c>
      <c r="F94" s="177">
        <v>44743</v>
      </c>
      <c r="G94" s="177">
        <v>45107</v>
      </c>
      <c r="H94" s="684">
        <v>450.42</v>
      </c>
      <c r="I94" t="s">
        <v>671</v>
      </c>
      <c r="J94" t="s">
        <v>625</v>
      </c>
    </row>
    <row r="95" spans="1:10">
      <c r="A95" t="s">
        <v>790</v>
      </c>
      <c r="B95" t="s">
        <v>351</v>
      </c>
      <c r="C95" t="s">
        <v>623</v>
      </c>
      <c r="D95" t="s">
        <v>33</v>
      </c>
      <c r="E95" t="s">
        <v>134</v>
      </c>
      <c r="F95" s="177">
        <v>45108</v>
      </c>
      <c r="G95" s="177">
        <v>45473</v>
      </c>
      <c r="H95" s="684">
        <v>468.44</v>
      </c>
      <c r="I95" t="s">
        <v>671</v>
      </c>
      <c r="J95" t="s">
        <v>625</v>
      </c>
    </row>
    <row r="96" spans="1:10">
      <c r="A96" t="s">
        <v>672</v>
      </c>
      <c r="B96" t="s">
        <v>108</v>
      </c>
      <c r="C96" t="s">
        <v>627</v>
      </c>
      <c r="D96" t="s">
        <v>127</v>
      </c>
      <c r="E96" t="s">
        <v>134</v>
      </c>
      <c r="F96" s="177">
        <v>44743</v>
      </c>
      <c r="G96" s="177">
        <v>45107</v>
      </c>
      <c r="H96" s="684">
        <v>450.42</v>
      </c>
      <c r="I96" t="s">
        <v>671</v>
      </c>
      <c r="J96" t="s">
        <v>625</v>
      </c>
    </row>
    <row r="97" spans="1:10">
      <c r="A97" t="s">
        <v>672</v>
      </c>
      <c r="B97" t="s">
        <v>108</v>
      </c>
      <c r="C97" t="s">
        <v>627</v>
      </c>
      <c r="D97" t="s">
        <v>127</v>
      </c>
      <c r="E97" t="s">
        <v>134</v>
      </c>
      <c r="F97" s="177">
        <v>45108</v>
      </c>
      <c r="G97" s="177">
        <v>45473</v>
      </c>
      <c r="H97" s="684">
        <v>468.44</v>
      </c>
      <c r="I97" t="s">
        <v>671</v>
      </c>
      <c r="J97" t="s">
        <v>625</v>
      </c>
    </row>
    <row r="98" spans="1:10">
      <c r="A98" t="s">
        <v>673</v>
      </c>
      <c r="B98" t="s">
        <v>107</v>
      </c>
      <c r="C98" t="s">
        <v>627</v>
      </c>
      <c r="D98" t="s">
        <v>33</v>
      </c>
      <c r="E98" t="s">
        <v>134</v>
      </c>
      <c r="F98" s="177">
        <v>44743</v>
      </c>
      <c r="G98" s="177">
        <v>45107</v>
      </c>
      <c r="H98" s="684">
        <v>450.42</v>
      </c>
      <c r="I98" t="s">
        <v>671</v>
      </c>
      <c r="J98" t="s">
        <v>625</v>
      </c>
    </row>
    <row r="99" spans="1:10">
      <c r="A99" t="s">
        <v>673</v>
      </c>
      <c r="B99" t="s">
        <v>107</v>
      </c>
      <c r="C99" t="s">
        <v>627</v>
      </c>
      <c r="D99" t="s">
        <v>33</v>
      </c>
      <c r="E99" t="s">
        <v>134</v>
      </c>
      <c r="F99" s="177">
        <v>45108</v>
      </c>
      <c r="G99" s="177">
        <v>45473</v>
      </c>
      <c r="H99" s="684">
        <v>468.44</v>
      </c>
      <c r="I99" t="s">
        <v>671</v>
      </c>
      <c r="J99" t="s">
        <v>625</v>
      </c>
    </row>
    <row r="100" spans="1:10">
      <c r="A100" t="s">
        <v>674</v>
      </c>
      <c r="B100" t="s">
        <v>110</v>
      </c>
      <c r="C100" t="s">
        <v>630</v>
      </c>
      <c r="D100" t="s">
        <v>127</v>
      </c>
      <c r="E100" t="s">
        <v>134</v>
      </c>
      <c r="F100" s="177">
        <v>44743</v>
      </c>
      <c r="G100" s="177">
        <v>45107</v>
      </c>
      <c r="H100" s="684">
        <v>450.42</v>
      </c>
      <c r="I100" t="s">
        <v>671</v>
      </c>
      <c r="J100" t="s">
        <v>625</v>
      </c>
    </row>
    <row r="101" spans="1:10">
      <c r="A101" t="s">
        <v>674</v>
      </c>
      <c r="B101" t="s">
        <v>110</v>
      </c>
      <c r="C101" t="s">
        <v>630</v>
      </c>
      <c r="D101" t="s">
        <v>127</v>
      </c>
      <c r="E101" t="s">
        <v>134</v>
      </c>
      <c r="F101" s="177">
        <v>45108</v>
      </c>
      <c r="G101" s="177">
        <v>45473</v>
      </c>
      <c r="H101" s="684">
        <v>468.44</v>
      </c>
      <c r="I101" t="s">
        <v>671</v>
      </c>
      <c r="J101" t="s">
        <v>625</v>
      </c>
    </row>
    <row r="102" spans="1:10">
      <c r="A102" t="s">
        <v>675</v>
      </c>
      <c r="B102" t="s">
        <v>109</v>
      </c>
      <c r="C102" t="s">
        <v>630</v>
      </c>
      <c r="D102" t="s">
        <v>33</v>
      </c>
      <c r="E102" t="s">
        <v>134</v>
      </c>
      <c r="F102" s="177">
        <v>44743</v>
      </c>
      <c r="G102" s="177">
        <v>45107</v>
      </c>
      <c r="H102" s="684">
        <v>450.42</v>
      </c>
      <c r="I102" t="s">
        <v>671</v>
      </c>
      <c r="J102" t="s">
        <v>625</v>
      </c>
    </row>
    <row r="103" spans="1:10">
      <c r="A103" t="s">
        <v>675</v>
      </c>
      <c r="B103" t="s">
        <v>109</v>
      </c>
      <c r="C103" t="s">
        <v>630</v>
      </c>
      <c r="D103" t="s">
        <v>33</v>
      </c>
      <c r="E103" t="s">
        <v>134</v>
      </c>
      <c r="F103" s="177">
        <v>45108</v>
      </c>
      <c r="G103" s="177">
        <v>45473</v>
      </c>
      <c r="H103" s="684">
        <v>468.44</v>
      </c>
      <c r="I103" t="s">
        <v>671</v>
      </c>
      <c r="J103" t="s">
        <v>625</v>
      </c>
    </row>
    <row r="104" spans="1:10">
      <c r="A104" t="s">
        <v>791</v>
      </c>
      <c r="B104" t="s">
        <v>354</v>
      </c>
      <c r="C104" t="s">
        <v>623</v>
      </c>
      <c r="D104" t="s">
        <v>127</v>
      </c>
      <c r="E104" t="s">
        <v>129</v>
      </c>
      <c r="F104" s="177">
        <v>44743</v>
      </c>
      <c r="G104" s="177">
        <v>45107</v>
      </c>
      <c r="H104" s="684">
        <v>32.340000000000003</v>
      </c>
      <c r="I104" t="s">
        <v>671</v>
      </c>
      <c r="J104" t="s">
        <v>625</v>
      </c>
    </row>
    <row r="105" spans="1:10">
      <c r="A105" t="s">
        <v>791</v>
      </c>
      <c r="B105" t="s">
        <v>354</v>
      </c>
      <c r="C105" t="s">
        <v>623</v>
      </c>
      <c r="D105" t="s">
        <v>127</v>
      </c>
      <c r="E105" t="s">
        <v>129</v>
      </c>
      <c r="F105" s="177">
        <v>45108</v>
      </c>
      <c r="G105" s="177">
        <v>45473</v>
      </c>
      <c r="H105" s="684">
        <v>33.630000000000003</v>
      </c>
      <c r="I105" t="s">
        <v>671</v>
      </c>
      <c r="J105" t="s">
        <v>625</v>
      </c>
    </row>
    <row r="106" spans="1:10">
      <c r="A106" t="s">
        <v>792</v>
      </c>
      <c r="B106" t="s">
        <v>353</v>
      </c>
      <c r="C106" t="s">
        <v>623</v>
      </c>
      <c r="D106" t="s">
        <v>33</v>
      </c>
      <c r="E106" t="s">
        <v>129</v>
      </c>
      <c r="F106" s="177">
        <v>44743</v>
      </c>
      <c r="G106" s="177">
        <v>45107</v>
      </c>
      <c r="H106" s="684">
        <v>32.340000000000003</v>
      </c>
      <c r="I106" t="s">
        <v>671</v>
      </c>
      <c r="J106" t="s">
        <v>625</v>
      </c>
    </row>
    <row r="107" spans="1:10">
      <c r="A107" t="s">
        <v>792</v>
      </c>
      <c r="B107" t="s">
        <v>353</v>
      </c>
      <c r="C107" t="s">
        <v>623</v>
      </c>
      <c r="D107" t="s">
        <v>33</v>
      </c>
      <c r="E107" t="s">
        <v>129</v>
      </c>
      <c r="F107" s="177">
        <v>45108</v>
      </c>
      <c r="G107" s="177">
        <v>45473</v>
      </c>
      <c r="H107" s="684">
        <v>33.630000000000003</v>
      </c>
      <c r="I107" t="s">
        <v>671</v>
      </c>
      <c r="J107" t="s">
        <v>625</v>
      </c>
    </row>
    <row r="108" spans="1:10">
      <c r="A108" t="s">
        <v>676</v>
      </c>
      <c r="B108" t="s">
        <v>113</v>
      </c>
      <c r="C108" t="s">
        <v>627</v>
      </c>
      <c r="D108" t="s">
        <v>127</v>
      </c>
      <c r="E108" t="s">
        <v>129</v>
      </c>
      <c r="F108" s="177">
        <v>44743</v>
      </c>
      <c r="G108" s="177">
        <v>45107</v>
      </c>
      <c r="H108" s="684">
        <v>32.340000000000003</v>
      </c>
      <c r="I108" t="s">
        <v>671</v>
      </c>
      <c r="J108" t="s">
        <v>625</v>
      </c>
    </row>
    <row r="109" spans="1:10">
      <c r="A109" t="s">
        <v>676</v>
      </c>
      <c r="B109" t="s">
        <v>113</v>
      </c>
      <c r="C109" t="s">
        <v>627</v>
      </c>
      <c r="D109" t="s">
        <v>127</v>
      </c>
      <c r="E109" t="s">
        <v>129</v>
      </c>
      <c r="F109" s="177">
        <v>45108</v>
      </c>
      <c r="G109" s="177">
        <v>45473</v>
      </c>
      <c r="H109" s="684">
        <v>33.630000000000003</v>
      </c>
      <c r="I109" t="s">
        <v>671</v>
      </c>
      <c r="J109" t="s">
        <v>625</v>
      </c>
    </row>
    <row r="110" spans="1:10">
      <c r="A110" t="s">
        <v>677</v>
      </c>
      <c r="B110" t="s">
        <v>112</v>
      </c>
      <c r="C110" t="s">
        <v>627</v>
      </c>
      <c r="D110" t="s">
        <v>33</v>
      </c>
      <c r="E110" t="s">
        <v>129</v>
      </c>
      <c r="F110" s="177">
        <v>44743</v>
      </c>
      <c r="G110" s="177">
        <v>45107</v>
      </c>
      <c r="H110" s="684">
        <v>32.340000000000003</v>
      </c>
      <c r="I110" t="s">
        <v>671</v>
      </c>
      <c r="J110" t="s">
        <v>625</v>
      </c>
    </row>
    <row r="111" spans="1:10">
      <c r="A111" t="s">
        <v>677</v>
      </c>
      <c r="B111" t="s">
        <v>112</v>
      </c>
      <c r="C111" t="s">
        <v>627</v>
      </c>
      <c r="D111" t="s">
        <v>33</v>
      </c>
      <c r="E111" t="s">
        <v>129</v>
      </c>
      <c r="F111" s="177">
        <v>45108</v>
      </c>
      <c r="G111" s="177">
        <v>45473</v>
      </c>
      <c r="H111" s="684">
        <v>33.630000000000003</v>
      </c>
      <c r="I111" t="s">
        <v>671</v>
      </c>
      <c r="J111" t="s">
        <v>625</v>
      </c>
    </row>
    <row r="112" spans="1:10">
      <c r="A112" t="s">
        <v>678</v>
      </c>
      <c r="B112" t="s">
        <v>115</v>
      </c>
      <c r="C112" t="s">
        <v>630</v>
      </c>
      <c r="D112" t="s">
        <v>127</v>
      </c>
      <c r="E112" t="s">
        <v>129</v>
      </c>
      <c r="F112" s="177">
        <v>44743</v>
      </c>
      <c r="G112" s="177">
        <v>45107</v>
      </c>
      <c r="H112" s="684">
        <v>32.340000000000003</v>
      </c>
      <c r="I112" t="s">
        <v>671</v>
      </c>
      <c r="J112" t="s">
        <v>625</v>
      </c>
    </row>
    <row r="113" spans="1:10">
      <c r="A113" t="s">
        <v>678</v>
      </c>
      <c r="B113" t="s">
        <v>115</v>
      </c>
      <c r="C113" t="s">
        <v>630</v>
      </c>
      <c r="D113" t="s">
        <v>127</v>
      </c>
      <c r="E113" t="s">
        <v>129</v>
      </c>
      <c r="F113" s="177">
        <v>45108</v>
      </c>
      <c r="G113" s="177">
        <v>45473</v>
      </c>
      <c r="H113" s="684">
        <v>33.630000000000003</v>
      </c>
      <c r="I113" t="s">
        <v>671</v>
      </c>
      <c r="J113" t="s">
        <v>625</v>
      </c>
    </row>
    <row r="114" spans="1:10">
      <c r="A114" t="s">
        <v>679</v>
      </c>
      <c r="B114" t="s">
        <v>114</v>
      </c>
      <c r="C114" t="s">
        <v>630</v>
      </c>
      <c r="D114" t="s">
        <v>33</v>
      </c>
      <c r="E114" t="s">
        <v>129</v>
      </c>
      <c r="F114" s="177">
        <v>44743</v>
      </c>
      <c r="G114" s="177">
        <v>45107</v>
      </c>
      <c r="H114" s="684">
        <v>32.340000000000003</v>
      </c>
      <c r="I114" t="s">
        <v>671</v>
      </c>
      <c r="J114" t="s">
        <v>625</v>
      </c>
    </row>
    <row r="115" spans="1:10">
      <c r="A115" t="s">
        <v>679</v>
      </c>
      <c r="B115" t="s">
        <v>114</v>
      </c>
      <c r="C115" t="s">
        <v>630</v>
      </c>
      <c r="D115" t="s">
        <v>33</v>
      </c>
      <c r="E115" t="s">
        <v>129</v>
      </c>
      <c r="F115" s="177">
        <v>45108</v>
      </c>
      <c r="G115" s="177">
        <v>45473</v>
      </c>
      <c r="H115" s="684">
        <v>33.630000000000003</v>
      </c>
      <c r="I115" t="s">
        <v>671</v>
      </c>
      <c r="J115" t="s">
        <v>625</v>
      </c>
    </row>
    <row r="116" spans="1:10">
      <c r="A116" t="s">
        <v>793</v>
      </c>
      <c r="B116" t="s">
        <v>42</v>
      </c>
      <c r="C116" t="s">
        <v>627</v>
      </c>
      <c r="D116" t="s">
        <v>127</v>
      </c>
      <c r="E116" t="s">
        <v>134</v>
      </c>
      <c r="F116" s="177">
        <v>44743</v>
      </c>
      <c r="G116" s="177">
        <v>45107</v>
      </c>
      <c r="H116" s="684">
        <v>1089</v>
      </c>
      <c r="I116" t="s">
        <v>789</v>
      </c>
      <c r="J116" t="s">
        <v>625</v>
      </c>
    </row>
    <row r="117" spans="1:10">
      <c r="A117" t="s">
        <v>793</v>
      </c>
      <c r="B117" t="s">
        <v>42</v>
      </c>
      <c r="C117" t="s">
        <v>627</v>
      </c>
      <c r="D117" t="s">
        <v>127</v>
      </c>
      <c r="E117" t="s">
        <v>134</v>
      </c>
      <c r="F117" s="177">
        <v>45108</v>
      </c>
      <c r="G117" s="177">
        <v>45473</v>
      </c>
      <c r="H117" s="684">
        <v>1133</v>
      </c>
      <c r="I117" t="s">
        <v>789</v>
      </c>
      <c r="J117" t="s">
        <v>625</v>
      </c>
    </row>
    <row r="118" spans="1:10">
      <c r="A118" t="s">
        <v>397</v>
      </c>
      <c r="B118" t="s">
        <v>365</v>
      </c>
      <c r="C118" t="s">
        <v>623</v>
      </c>
      <c r="D118" t="s">
        <v>33</v>
      </c>
      <c r="E118" t="s">
        <v>134</v>
      </c>
      <c r="F118" s="177">
        <v>44743</v>
      </c>
      <c r="G118" s="177">
        <v>45107</v>
      </c>
      <c r="H118" s="684">
        <v>2330</v>
      </c>
      <c r="I118" t="s">
        <v>680</v>
      </c>
      <c r="J118" t="s">
        <v>625</v>
      </c>
    </row>
    <row r="119" spans="1:10">
      <c r="A119" t="s">
        <v>397</v>
      </c>
      <c r="B119" t="s">
        <v>365</v>
      </c>
      <c r="C119" t="s">
        <v>623</v>
      </c>
      <c r="D119" t="s">
        <v>33</v>
      </c>
      <c r="E119" t="s">
        <v>134</v>
      </c>
      <c r="F119" s="177">
        <v>45108</v>
      </c>
      <c r="G119" s="177">
        <v>45473</v>
      </c>
      <c r="H119" s="684">
        <v>2423</v>
      </c>
      <c r="I119" t="s">
        <v>680</v>
      </c>
      <c r="J119" t="s">
        <v>625</v>
      </c>
    </row>
    <row r="120" spans="1:10">
      <c r="A120" t="s">
        <v>681</v>
      </c>
      <c r="B120" t="s">
        <v>463</v>
      </c>
      <c r="C120" t="s">
        <v>623</v>
      </c>
      <c r="D120" t="s">
        <v>33</v>
      </c>
      <c r="E120" t="s">
        <v>134</v>
      </c>
      <c r="F120" s="177">
        <v>44743</v>
      </c>
      <c r="G120" s="177">
        <v>45107</v>
      </c>
      <c r="H120" s="684">
        <v>2330</v>
      </c>
      <c r="I120" t="s">
        <v>680</v>
      </c>
      <c r="J120" t="s">
        <v>625</v>
      </c>
    </row>
    <row r="121" spans="1:10">
      <c r="A121" t="s">
        <v>681</v>
      </c>
      <c r="B121" t="s">
        <v>463</v>
      </c>
      <c r="C121" t="s">
        <v>623</v>
      </c>
      <c r="D121" t="s">
        <v>33</v>
      </c>
      <c r="E121" t="s">
        <v>134</v>
      </c>
      <c r="F121" s="177">
        <v>45108</v>
      </c>
      <c r="G121" s="177">
        <v>45473</v>
      </c>
      <c r="H121" s="684">
        <v>2423</v>
      </c>
      <c r="I121" t="s">
        <v>680</v>
      </c>
      <c r="J121" t="s">
        <v>625</v>
      </c>
    </row>
  </sheetData>
  <autoFilter ref="A1:J1" xr:uid="{FCC9DD59-586F-4DCE-9966-55FA3813C651}"/>
  <sortState xmlns:xlrd2="http://schemas.microsoft.com/office/spreadsheetml/2017/richdata2" ref="A2:J123">
    <sortCondition ref="B2:B123"/>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5B03C-47D1-423A-849E-FDC98546F4BD}">
  <sheetPr>
    <tabColor theme="7" tint="0.79998168889431442"/>
  </sheetPr>
  <dimension ref="A1:X384"/>
  <sheetViews>
    <sheetView workbookViewId="0">
      <selection activeCell="R22" sqref="R22"/>
    </sheetView>
  </sheetViews>
  <sheetFormatPr defaultColWidth="9.109375" defaultRowHeight="14.4"/>
  <cols>
    <col min="1" max="1" width="19" style="480" bestFit="1" customWidth="1"/>
    <col min="2" max="2" width="16.33203125" style="480" bestFit="1" customWidth="1"/>
    <col min="3" max="3" width="9" style="480" bestFit="1" customWidth="1"/>
    <col min="4" max="4" width="13.44140625" style="480" bestFit="1" customWidth="1"/>
    <col min="5" max="5" width="12" style="480" bestFit="1" customWidth="1"/>
    <col min="6" max="6" width="8.6640625" style="480" bestFit="1" customWidth="1"/>
    <col min="7" max="9" width="11.33203125" style="480" customWidth="1"/>
    <col min="10" max="10" width="9.88671875" style="480" bestFit="1" customWidth="1"/>
    <col min="11" max="11" width="11.33203125" style="480" bestFit="1" customWidth="1"/>
    <col min="12" max="16" width="9.109375" style="480"/>
    <col min="17" max="17" width="19" style="480" bestFit="1" customWidth="1"/>
    <col min="18" max="18" width="14.5546875" customWidth="1"/>
    <col min="19" max="19" width="10.109375" style="480" customWidth="1"/>
    <col min="20" max="20" width="11.33203125" style="480" bestFit="1" customWidth="1"/>
    <col min="21" max="21" width="6.88671875" style="480" bestFit="1" customWidth="1"/>
    <col min="22" max="22" width="9.6640625" style="480" bestFit="1" customWidth="1"/>
    <col min="23" max="23" width="9.88671875" style="480" bestFit="1" customWidth="1"/>
    <col min="24" max="24" width="11.33203125" style="480" bestFit="1" customWidth="1"/>
    <col min="25" max="16384" width="9.109375" style="480"/>
  </cols>
  <sheetData>
    <row r="1" spans="1:24">
      <c r="A1" s="557" t="s">
        <v>600</v>
      </c>
    </row>
    <row r="2" spans="1:24">
      <c r="A2" s="480" t="s">
        <v>682</v>
      </c>
    </row>
    <row r="3" spans="1:24">
      <c r="A3" s="480" t="s">
        <v>602</v>
      </c>
    </row>
    <row r="4" spans="1:24">
      <c r="A4" s="480" t="s">
        <v>603</v>
      </c>
    </row>
    <row r="5" spans="1:24">
      <c r="A5" s="480" t="s">
        <v>746</v>
      </c>
      <c r="B5" s="496"/>
      <c r="C5" s="496"/>
      <c r="D5" s="496"/>
      <c r="E5" s="496"/>
      <c r="F5" s="496"/>
      <c r="G5" s="496"/>
      <c r="H5" s="496"/>
      <c r="I5" s="496"/>
      <c r="J5" s="496"/>
      <c r="K5" s="496"/>
    </row>
    <row r="6" spans="1:24" ht="15" customHeight="1">
      <c r="A6" s="480" t="s">
        <v>604</v>
      </c>
    </row>
    <row r="8" spans="1:24">
      <c r="B8" s="496"/>
      <c r="C8" s="496"/>
      <c r="D8" s="496"/>
      <c r="E8" s="496"/>
      <c r="F8" s="496"/>
      <c r="G8" s="496"/>
      <c r="H8" s="496"/>
      <c r="I8" s="496"/>
      <c r="J8" s="496"/>
      <c r="K8" s="496"/>
      <c r="R8" s="480"/>
    </row>
    <row r="9" spans="1:24" ht="15" customHeight="1">
      <c r="R9" s="480"/>
    </row>
    <row r="10" spans="1:24">
      <c r="A10" s="564"/>
      <c r="B10" s="564"/>
      <c r="C10" s="564"/>
      <c r="D10" s="564"/>
      <c r="E10" s="482" t="str">
        <f>"FY"&amp;YEAR(E12)+1</f>
        <v>FY2023</v>
      </c>
      <c r="F10" s="483" t="str">
        <f>"FY"&amp;YEAR(F12)+1</f>
        <v>FY2024</v>
      </c>
      <c r="R10" s="480"/>
    </row>
    <row r="11" spans="1:24" ht="15" customHeight="1">
      <c r="A11" s="474" t="s">
        <v>683</v>
      </c>
      <c r="B11"/>
      <c r="C11"/>
      <c r="D11"/>
      <c r="E11" s="474" t="s">
        <v>619</v>
      </c>
      <c r="F11"/>
      <c r="G11"/>
      <c r="H11"/>
      <c r="I11"/>
      <c r="J11" s="485"/>
      <c r="Q11"/>
      <c r="R11" s="480"/>
      <c r="S11"/>
      <c r="T11"/>
      <c r="U11"/>
      <c r="V11"/>
      <c r="W11"/>
      <c r="X11"/>
    </row>
    <row r="12" spans="1:24">
      <c r="A12" s="474" t="s">
        <v>615</v>
      </c>
      <c r="B12" s="474" t="s">
        <v>621</v>
      </c>
      <c r="C12" s="474" t="s">
        <v>616</v>
      </c>
      <c r="D12" s="474" t="s">
        <v>617</v>
      </c>
      <c r="E12" s="177">
        <v>44743</v>
      </c>
      <c r="F12" s="177">
        <v>45108</v>
      </c>
      <c r="G12" s="498" t="s">
        <v>684</v>
      </c>
      <c r="I12"/>
      <c r="Q12"/>
      <c r="R12" s="480"/>
      <c r="V12"/>
      <c r="W12"/>
      <c r="X12"/>
    </row>
    <row r="13" spans="1:24">
      <c r="A13" t="s">
        <v>463</v>
      </c>
      <c r="B13" t="s">
        <v>680</v>
      </c>
      <c r="C13" t="s">
        <v>623</v>
      </c>
      <c r="D13" t="s">
        <v>33</v>
      </c>
      <c r="E13">
        <v>2330</v>
      </c>
      <c r="F13">
        <v>2423</v>
      </c>
      <c r="G13" s="262">
        <f>F13/E13-1</f>
        <v>3.991416309012874E-2</v>
      </c>
      <c r="I13"/>
      <c r="J13" s="497"/>
      <c r="Q13"/>
      <c r="R13" s="480"/>
      <c r="V13"/>
      <c r="W13"/>
      <c r="X13"/>
    </row>
    <row r="14" spans="1:24">
      <c r="A14" t="s">
        <v>365</v>
      </c>
      <c r="B14" t="s">
        <v>680</v>
      </c>
      <c r="C14" t="s">
        <v>623</v>
      </c>
      <c r="D14" t="s">
        <v>33</v>
      </c>
      <c r="E14">
        <v>2330</v>
      </c>
      <c r="F14">
        <v>2423</v>
      </c>
      <c r="G14" s="262">
        <f t="shared" ref="G14:G73" si="0">F14/E14-1</f>
        <v>3.991416309012874E-2</v>
      </c>
      <c r="I14"/>
      <c r="Q14"/>
      <c r="R14" s="480"/>
      <c r="V14"/>
      <c r="W14"/>
      <c r="X14"/>
    </row>
    <row r="15" spans="1:24">
      <c r="A15" t="s">
        <v>332</v>
      </c>
      <c r="B15" t="s">
        <v>657</v>
      </c>
      <c r="C15" t="s">
        <v>623</v>
      </c>
      <c r="D15" t="s">
        <v>33</v>
      </c>
      <c r="E15">
        <v>67.78</v>
      </c>
      <c r="F15">
        <v>70.489999999999995</v>
      </c>
      <c r="G15" s="262">
        <f t="shared" si="0"/>
        <v>3.9982295662437162E-2</v>
      </c>
      <c r="I15"/>
      <c r="Q15"/>
      <c r="R15" s="480"/>
      <c r="V15"/>
      <c r="W15"/>
      <c r="X15"/>
    </row>
    <row r="16" spans="1:24">
      <c r="A16" t="s">
        <v>410</v>
      </c>
      <c r="B16" t="s">
        <v>657</v>
      </c>
      <c r="C16" t="s">
        <v>627</v>
      </c>
      <c r="D16" t="s">
        <v>33</v>
      </c>
      <c r="E16">
        <v>67.78</v>
      </c>
      <c r="F16">
        <v>70.489999999999995</v>
      </c>
      <c r="G16" s="262">
        <f t="shared" si="0"/>
        <v>3.9982295662437162E-2</v>
      </c>
      <c r="I16"/>
      <c r="Q16"/>
      <c r="R16" s="480"/>
      <c r="V16"/>
      <c r="W16"/>
      <c r="X16"/>
    </row>
    <row r="17" spans="1:24">
      <c r="A17" t="s">
        <v>411</v>
      </c>
      <c r="B17" t="s">
        <v>657</v>
      </c>
      <c r="C17" t="s">
        <v>627</v>
      </c>
      <c r="D17" t="s">
        <v>127</v>
      </c>
      <c r="E17">
        <v>67.78</v>
      </c>
      <c r="F17">
        <v>70.489999999999995</v>
      </c>
      <c r="G17" s="262">
        <f t="shared" si="0"/>
        <v>3.9982295662437162E-2</v>
      </c>
      <c r="I17"/>
      <c r="Q17"/>
      <c r="R17" s="480"/>
      <c r="V17"/>
      <c r="W17"/>
      <c r="X17"/>
    </row>
    <row r="18" spans="1:24">
      <c r="A18" t="s">
        <v>412</v>
      </c>
      <c r="B18" t="s">
        <v>657</v>
      </c>
      <c r="C18" t="s">
        <v>630</v>
      </c>
      <c r="D18" t="s">
        <v>33</v>
      </c>
      <c r="E18">
        <v>67.78</v>
      </c>
      <c r="F18">
        <v>70.489999999999995</v>
      </c>
      <c r="G18" s="262">
        <f t="shared" si="0"/>
        <v>3.9982295662437162E-2</v>
      </c>
      <c r="I18"/>
      <c r="Q18"/>
      <c r="R18" s="480"/>
      <c r="V18"/>
      <c r="W18"/>
      <c r="X18"/>
    </row>
    <row r="19" spans="1:24">
      <c r="A19" t="s">
        <v>413</v>
      </c>
      <c r="B19" t="s">
        <v>657</v>
      </c>
      <c r="C19" t="s">
        <v>630</v>
      </c>
      <c r="D19" t="s">
        <v>127</v>
      </c>
      <c r="E19">
        <v>67.78</v>
      </c>
      <c r="F19">
        <v>70.489999999999995</v>
      </c>
      <c r="G19" s="262">
        <f t="shared" si="0"/>
        <v>3.9982295662437162E-2</v>
      </c>
      <c r="I19"/>
      <c r="Q19"/>
      <c r="R19" s="480"/>
      <c r="V19"/>
      <c r="W19"/>
      <c r="X19"/>
    </row>
    <row r="20" spans="1:24" ht="15" customHeight="1">
      <c r="A20" t="s">
        <v>301</v>
      </c>
      <c r="B20" t="s">
        <v>624</v>
      </c>
      <c r="C20" t="s">
        <v>623</v>
      </c>
      <c r="D20" t="s">
        <v>33</v>
      </c>
      <c r="E20">
        <v>1595.74</v>
      </c>
      <c r="F20">
        <v>1659.57</v>
      </c>
      <c r="G20" s="262">
        <f t="shared" si="0"/>
        <v>4.0000250667401982E-2</v>
      </c>
      <c r="I20"/>
      <c r="J20" s="481"/>
      <c r="K20" s="481"/>
      <c r="L20" s="481"/>
      <c r="Q20"/>
      <c r="R20" s="480"/>
      <c r="V20"/>
      <c r="W20"/>
      <c r="X20"/>
    </row>
    <row r="21" spans="1:24">
      <c r="A21" t="s">
        <v>50</v>
      </c>
      <c r="B21" t="s">
        <v>624</v>
      </c>
      <c r="C21" t="s">
        <v>627</v>
      </c>
      <c r="D21" t="s">
        <v>33</v>
      </c>
      <c r="E21">
        <v>1595.74</v>
      </c>
      <c r="F21">
        <v>1659.57</v>
      </c>
      <c r="G21" s="262">
        <f t="shared" si="0"/>
        <v>4.0000250667401982E-2</v>
      </c>
      <c r="I21"/>
      <c r="J21" s="481"/>
      <c r="K21" s="481"/>
      <c r="L21" s="481"/>
      <c r="Q21"/>
      <c r="R21" s="480"/>
      <c r="V21"/>
      <c r="W21"/>
      <c r="X21"/>
    </row>
    <row r="22" spans="1:24">
      <c r="A22" t="s">
        <v>51</v>
      </c>
      <c r="B22" t="s">
        <v>624</v>
      </c>
      <c r="C22" t="s">
        <v>627</v>
      </c>
      <c r="D22" t="s">
        <v>127</v>
      </c>
      <c r="E22">
        <v>1595.74</v>
      </c>
      <c r="F22">
        <v>1659.57</v>
      </c>
      <c r="G22" s="262">
        <f t="shared" si="0"/>
        <v>4.0000250667401982E-2</v>
      </c>
      <c r="I22"/>
      <c r="Q22"/>
      <c r="R22" s="480"/>
      <c r="V22"/>
      <c r="W22"/>
      <c r="X22"/>
    </row>
    <row r="23" spans="1:24" ht="15" customHeight="1">
      <c r="A23" t="s">
        <v>52</v>
      </c>
      <c r="B23" t="s">
        <v>624</v>
      </c>
      <c r="C23" t="s">
        <v>630</v>
      </c>
      <c r="D23" t="s">
        <v>33</v>
      </c>
      <c r="E23">
        <v>1595.74</v>
      </c>
      <c r="F23">
        <v>1659.57</v>
      </c>
      <c r="G23" s="262">
        <f t="shared" si="0"/>
        <v>4.0000250667401982E-2</v>
      </c>
      <c r="I23"/>
      <c r="J23" s="481"/>
      <c r="K23" s="481"/>
      <c r="L23" s="481"/>
      <c r="M23" s="481"/>
      <c r="N23" s="481"/>
      <c r="Q23"/>
      <c r="R23" s="480"/>
      <c r="V23"/>
      <c r="W23"/>
      <c r="X23"/>
    </row>
    <row r="24" spans="1:24">
      <c r="A24" t="s">
        <v>53</v>
      </c>
      <c r="B24" t="s">
        <v>624</v>
      </c>
      <c r="C24" t="s">
        <v>630</v>
      </c>
      <c r="D24" t="s">
        <v>127</v>
      </c>
      <c r="E24">
        <v>1595.74</v>
      </c>
      <c r="F24">
        <v>1659.57</v>
      </c>
      <c r="G24" s="262">
        <f t="shared" si="0"/>
        <v>4.0000250667401982E-2</v>
      </c>
      <c r="I24"/>
      <c r="J24" s="481"/>
      <c r="K24" s="481"/>
      <c r="L24" s="481"/>
      <c r="M24" s="481"/>
      <c r="N24" s="481"/>
      <c r="Q24"/>
      <c r="R24" s="480"/>
      <c r="V24"/>
      <c r="W24"/>
      <c r="X24"/>
    </row>
    <row r="25" spans="1:24" ht="15" customHeight="1">
      <c r="A25" t="s">
        <v>473</v>
      </c>
      <c r="B25" t="s">
        <v>624</v>
      </c>
      <c r="C25" t="s">
        <v>623</v>
      </c>
      <c r="D25" t="s">
        <v>127</v>
      </c>
      <c r="E25">
        <v>36.299999999999997</v>
      </c>
      <c r="F25">
        <v>37.75</v>
      </c>
      <c r="G25" s="262">
        <f t="shared" si="0"/>
        <v>3.9944903581267344E-2</v>
      </c>
      <c r="I25"/>
      <c r="J25" s="481"/>
      <c r="K25" s="481"/>
      <c r="L25" s="481"/>
      <c r="M25" s="481"/>
      <c r="N25" s="481"/>
      <c r="O25" s="481"/>
      <c r="Q25"/>
      <c r="R25" s="480"/>
      <c r="V25"/>
      <c r="W25"/>
      <c r="X25"/>
    </row>
    <row r="26" spans="1:24">
      <c r="A26" t="s">
        <v>472</v>
      </c>
      <c r="B26" t="s">
        <v>624</v>
      </c>
      <c r="C26" t="s">
        <v>623</v>
      </c>
      <c r="D26" t="s">
        <v>33</v>
      </c>
      <c r="E26">
        <v>36.299999999999997</v>
      </c>
      <c r="F26">
        <v>37.75</v>
      </c>
      <c r="G26" s="262">
        <f t="shared" si="0"/>
        <v>3.9944903581267344E-2</v>
      </c>
      <c r="I26"/>
      <c r="J26" s="481"/>
      <c r="K26" s="481"/>
      <c r="L26" s="481"/>
      <c r="M26" s="481"/>
      <c r="N26" s="481"/>
      <c r="O26" s="481"/>
      <c r="Q26"/>
      <c r="R26" s="480"/>
      <c r="V26"/>
      <c r="W26"/>
      <c r="X26"/>
    </row>
    <row r="27" spans="1:24">
      <c r="A27" t="s">
        <v>305</v>
      </c>
      <c r="B27" t="s">
        <v>624</v>
      </c>
      <c r="C27" t="s">
        <v>623</v>
      </c>
      <c r="D27" t="s">
        <v>33</v>
      </c>
      <c r="E27">
        <v>1595.74</v>
      </c>
      <c r="F27">
        <v>1659.57</v>
      </c>
      <c r="G27" s="262">
        <f t="shared" si="0"/>
        <v>4.0000250667401982E-2</v>
      </c>
      <c r="I27"/>
      <c r="Q27"/>
      <c r="R27" s="480"/>
      <c r="V27"/>
      <c r="W27"/>
      <c r="X27"/>
    </row>
    <row r="28" spans="1:24">
      <c r="A28" t="s">
        <v>58</v>
      </c>
      <c r="B28" t="s">
        <v>624</v>
      </c>
      <c r="C28" t="s">
        <v>627</v>
      </c>
      <c r="D28" t="s">
        <v>33</v>
      </c>
      <c r="E28">
        <v>1595.74</v>
      </c>
      <c r="F28">
        <v>1659.57</v>
      </c>
      <c r="G28" s="262">
        <f t="shared" si="0"/>
        <v>4.0000250667401982E-2</v>
      </c>
      <c r="I28"/>
      <c r="Q28"/>
      <c r="R28" s="480"/>
      <c r="V28"/>
      <c r="W28"/>
      <c r="X28"/>
    </row>
    <row r="29" spans="1:24">
      <c r="A29" t="s">
        <v>59</v>
      </c>
      <c r="B29" t="s">
        <v>624</v>
      </c>
      <c r="C29" t="s">
        <v>627</v>
      </c>
      <c r="D29" t="s">
        <v>127</v>
      </c>
      <c r="E29">
        <v>1595.74</v>
      </c>
      <c r="F29">
        <v>1659.57</v>
      </c>
      <c r="G29" s="262">
        <f t="shared" si="0"/>
        <v>4.0000250667401982E-2</v>
      </c>
      <c r="I29"/>
      <c r="Q29"/>
      <c r="R29" s="480"/>
      <c r="V29"/>
      <c r="W29"/>
      <c r="X29"/>
    </row>
    <row r="30" spans="1:24">
      <c r="A30" t="s">
        <v>60</v>
      </c>
      <c r="B30" t="s">
        <v>624</v>
      </c>
      <c r="C30" t="s">
        <v>630</v>
      </c>
      <c r="D30" t="s">
        <v>33</v>
      </c>
      <c r="E30">
        <v>1595.74</v>
      </c>
      <c r="F30">
        <v>1659.57</v>
      </c>
      <c r="G30" s="262">
        <f t="shared" si="0"/>
        <v>4.0000250667401982E-2</v>
      </c>
      <c r="I30"/>
      <c r="Q30"/>
      <c r="R30" s="480"/>
      <c r="V30"/>
      <c r="W30"/>
      <c r="X30"/>
    </row>
    <row r="31" spans="1:24">
      <c r="A31" t="s">
        <v>61</v>
      </c>
      <c r="B31" t="s">
        <v>624</v>
      </c>
      <c r="C31" t="s">
        <v>630</v>
      </c>
      <c r="D31" t="s">
        <v>127</v>
      </c>
      <c r="E31">
        <v>1595.74</v>
      </c>
      <c r="F31">
        <v>1659.57</v>
      </c>
      <c r="G31" s="262">
        <f t="shared" si="0"/>
        <v>4.0000250667401982E-2</v>
      </c>
      <c r="I31"/>
      <c r="Q31"/>
      <c r="R31" s="480"/>
      <c r="V31"/>
      <c r="W31"/>
      <c r="X31"/>
    </row>
    <row r="32" spans="1:24">
      <c r="A32" t="s">
        <v>307</v>
      </c>
      <c r="B32" t="s">
        <v>624</v>
      </c>
      <c r="C32" t="s">
        <v>623</v>
      </c>
      <c r="D32" t="s">
        <v>33</v>
      </c>
      <c r="E32">
        <v>18.25</v>
      </c>
      <c r="F32">
        <v>18.98</v>
      </c>
      <c r="G32" s="262">
        <f t="shared" si="0"/>
        <v>4.0000000000000036E-2</v>
      </c>
      <c r="I32"/>
      <c r="Q32"/>
      <c r="R32" s="480"/>
      <c r="V32"/>
      <c r="W32"/>
      <c r="X32"/>
    </row>
    <row r="33" spans="1:24">
      <c r="A33" t="s">
        <v>62</v>
      </c>
      <c r="B33" t="s">
        <v>624</v>
      </c>
      <c r="C33" t="s">
        <v>627</v>
      </c>
      <c r="D33" t="s">
        <v>33</v>
      </c>
      <c r="E33">
        <v>18.25</v>
      </c>
      <c r="F33">
        <v>18.98</v>
      </c>
      <c r="G33" s="262">
        <f t="shared" si="0"/>
        <v>4.0000000000000036E-2</v>
      </c>
      <c r="I33"/>
      <c r="Q33"/>
      <c r="R33" s="480"/>
      <c r="V33"/>
      <c r="W33"/>
      <c r="X33"/>
    </row>
    <row r="34" spans="1:24">
      <c r="A34" t="s">
        <v>63</v>
      </c>
      <c r="B34" t="s">
        <v>624</v>
      </c>
      <c r="C34" t="s">
        <v>627</v>
      </c>
      <c r="D34" t="s">
        <v>127</v>
      </c>
      <c r="E34">
        <v>18.25</v>
      </c>
      <c r="F34">
        <v>18.98</v>
      </c>
      <c r="G34" s="262">
        <f t="shared" si="0"/>
        <v>4.0000000000000036E-2</v>
      </c>
      <c r="I34"/>
      <c r="Q34"/>
      <c r="R34" s="480"/>
      <c r="V34"/>
      <c r="W34"/>
      <c r="X34"/>
    </row>
    <row r="35" spans="1:24">
      <c r="A35" t="s">
        <v>64</v>
      </c>
      <c r="B35" t="s">
        <v>624</v>
      </c>
      <c r="C35" t="s">
        <v>630</v>
      </c>
      <c r="D35" t="s">
        <v>33</v>
      </c>
      <c r="E35">
        <v>18.25</v>
      </c>
      <c r="F35">
        <v>18.98</v>
      </c>
      <c r="G35" s="262">
        <f t="shared" si="0"/>
        <v>4.0000000000000036E-2</v>
      </c>
      <c r="I35"/>
      <c r="Q35"/>
      <c r="R35" s="480"/>
      <c r="V35"/>
      <c r="W35"/>
      <c r="X35"/>
    </row>
    <row r="36" spans="1:24">
      <c r="A36" t="s">
        <v>65</v>
      </c>
      <c r="B36" t="s">
        <v>624</v>
      </c>
      <c r="C36" t="s">
        <v>630</v>
      </c>
      <c r="D36" t="s">
        <v>127</v>
      </c>
      <c r="E36">
        <v>18.25</v>
      </c>
      <c r="F36">
        <v>18.98</v>
      </c>
      <c r="G36" s="262">
        <f t="shared" si="0"/>
        <v>4.0000000000000036E-2</v>
      </c>
      <c r="I36"/>
      <c r="Q36"/>
      <c r="R36" s="480"/>
      <c r="V36"/>
      <c r="W36"/>
      <c r="X36"/>
    </row>
    <row r="37" spans="1:24">
      <c r="A37" t="s">
        <v>471</v>
      </c>
      <c r="B37" t="s">
        <v>624</v>
      </c>
      <c r="C37" t="s">
        <v>630</v>
      </c>
      <c r="D37" t="s">
        <v>33</v>
      </c>
      <c r="E37">
        <v>36.299999999999997</v>
      </c>
      <c r="F37">
        <v>37.75</v>
      </c>
      <c r="G37" s="262">
        <f t="shared" si="0"/>
        <v>3.9944903581267344E-2</v>
      </c>
      <c r="I37"/>
      <c r="Q37"/>
      <c r="R37" s="480"/>
      <c r="V37"/>
      <c r="W37"/>
      <c r="X37"/>
    </row>
    <row r="38" spans="1:24">
      <c r="A38" t="s">
        <v>470</v>
      </c>
      <c r="B38" t="s">
        <v>624</v>
      </c>
      <c r="C38" t="s">
        <v>630</v>
      </c>
      <c r="D38" t="s">
        <v>127</v>
      </c>
      <c r="E38">
        <v>36.299999999999997</v>
      </c>
      <c r="F38">
        <v>37.75</v>
      </c>
      <c r="G38" s="262">
        <f t="shared" si="0"/>
        <v>3.9944903581267344E-2</v>
      </c>
      <c r="I38"/>
      <c r="Q38"/>
      <c r="R38" s="480"/>
      <c r="V38"/>
      <c r="W38"/>
      <c r="X38"/>
    </row>
    <row r="39" spans="1:24">
      <c r="A39" t="s">
        <v>469</v>
      </c>
      <c r="B39" t="s">
        <v>624</v>
      </c>
      <c r="C39" t="s">
        <v>627</v>
      </c>
      <c r="D39" t="s">
        <v>33</v>
      </c>
      <c r="E39">
        <v>36.299999999999997</v>
      </c>
      <c r="F39">
        <v>37.75</v>
      </c>
      <c r="G39" s="262">
        <f t="shared" si="0"/>
        <v>3.9944903581267344E-2</v>
      </c>
      <c r="I39"/>
      <c r="K39" s="481"/>
      <c r="L39" s="481"/>
      <c r="M39" s="481"/>
      <c r="Q39"/>
      <c r="R39" s="480"/>
      <c r="V39"/>
      <c r="W39"/>
      <c r="X39"/>
    </row>
    <row r="40" spans="1:24">
      <c r="A40" t="s">
        <v>468</v>
      </c>
      <c r="B40" t="s">
        <v>624</v>
      </c>
      <c r="C40" t="s">
        <v>627</v>
      </c>
      <c r="D40" t="s">
        <v>127</v>
      </c>
      <c r="E40">
        <v>36.299999999999997</v>
      </c>
      <c r="F40">
        <v>37.75</v>
      </c>
      <c r="G40" s="262">
        <f t="shared" si="0"/>
        <v>3.9944903581267344E-2</v>
      </c>
      <c r="I40"/>
      <c r="K40" s="481"/>
      <c r="L40" s="481"/>
      <c r="M40" s="481"/>
      <c r="Q40"/>
      <c r="R40" s="480"/>
      <c r="V40"/>
      <c r="W40"/>
      <c r="X40"/>
    </row>
    <row r="41" spans="1:24">
      <c r="A41" t="s">
        <v>324</v>
      </c>
      <c r="B41" t="s">
        <v>647</v>
      </c>
      <c r="C41" t="s">
        <v>623</v>
      </c>
      <c r="D41" t="s">
        <v>33</v>
      </c>
      <c r="E41">
        <v>474.49</v>
      </c>
      <c r="F41">
        <v>493.47</v>
      </c>
      <c r="G41" s="262">
        <f t="shared" si="0"/>
        <v>4.0000843010390197E-2</v>
      </c>
      <c r="I41"/>
      <c r="Q41"/>
      <c r="R41" s="480"/>
      <c r="V41"/>
      <c r="W41"/>
      <c r="X41"/>
    </row>
    <row r="42" spans="1:24">
      <c r="A42" t="s">
        <v>67</v>
      </c>
      <c r="B42" t="s">
        <v>647</v>
      </c>
      <c r="C42" t="s">
        <v>627</v>
      </c>
      <c r="D42" t="s">
        <v>33</v>
      </c>
      <c r="E42">
        <v>474.49</v>
      </c>
      <c r="F42">
        <v>493.47</v>
      </c>
      <c r="G42" s="262">
        <f t="shared" si="0"/>
        <v>4.0000843010390197E-2</v>
      </c>
      <c r="I42"/>
      <c r="Q42"/>
      <c r="R42" s="480"/>
      <c r="V42"/>
      <c r="W42"/>
      <c r="X42"/>
    </row>
    <row r="43" spans="1:24">
      <c r="A43" t="s">
        <v>68</v>
      </c>
      <c r="B43" t="s">
        <v>647</v>
      </c>
      <c r="C43" t="s">
        <v>627</v>
      </c>
      <c r="D43" t="s">
        <v>127</v>
      </c>
      <c r="E43">
        <v>474.49</v>
      </c>
      <c r="F43">
        <v>493.47</v>
      </c>
      <c r="G43" s="262">
        <f t="shared" si="0"/>
        <v>4.0000843010390197E-2</v>
      </c>
      <c r="I43"/>
      <c r="Q43"/>
      <c r="R43" s="480"/>
      <c r="V43"/>
      <c r="W43"/>
      <c r="X43"/>
    </row>
    <row r="44" spans="1:24">
      <c r="A44" t="s">
        <v>69</v>
      </c>
      <c r="B44" t="s">
        <v>647</v>
      </c>
      <c r="C44" t="s">
        <v>630</v>
      </c>
      <c r="D44" t="s">
        <v>33</v>
      </c>
      <c r="E44">
        <v>474.49</v>
      </c>
      <c r="F44">
        <v>493.47</v>
      </c>
      <c r="G44" s="262">
        <f t="shared" si="0"/>
        <v>4.0000843010390197E-2</v>
      </c>
      <c r="I44"/>
      <c r="Q44"/>
      <c r="R44" s="480"/>
      <c r="V44"/>
      <c r="W44"/>
      <c r="X44"/>
    </row>
    <row r="45" spans="1:24">
      <c r="A45" t="s">
        <v>70</v>
      </c>
      <c r="B45" t="s">
        <v>647</v>
      </c>
      <c r="C45" t="s">
        <v>630</v>
      </c>
      <c r="D45" t="s">
        <v>127</v>
      </c>
      <c r="E45">
        <v>474.49</v>
      </c>
      <c r="F45">
        <v>493.47</v>
      </c>
      <c r="G45" s="262">
        <f t="shared" si="0"/>
        <v>4.0000843010390197E-2</v>
      </c>
      <c r="I45"/>
      <c r="Q45"/>
      <c r="R45" s="480"/>
      <c r="V45"/>
      <c r="W45"/>
      <c r="X45"/>
    </row>
    <row r="46" spans="1:24">
      <c r="A46" t="s">
        <v>328</v>
      </c>
      <c r="B46" t="s">
        <v>652</v>
      </c>
      <c r="C46" t="s">
        <v>623</v>
      </c>
      <c r="D46" t="s">
        <v>33</v>
      </c>
      <c r="E46">
        <v>65.37</v>
      </c>
      <c r="F46">
        <v>67.98</v>
      </c>
      <c r="G46" s="262">
        <f t="shared" si="0"/>
        <v>3.9926571821936596E-2</v>
      </c>
      <c r="I46"/>
      <c r="Q46"/>
      <c r="R46" s="480"/>
      <c r="V46"/>
      <c r="W46"/>
      <c r="X46"/>
    </row>
    <row r="47" spans="1:24">
      <c r="A47" t="s">
        <v>77</v>
      </c>
      <c r="B47" t="s">
        <v>652</v>
      </c>
      <c r="C47" t="s">
        <v>627</v>
      </c>
      <c r="D47" t="s">
        <v>33</v>
      </c>
      <c r="E47">
        <v>65.37</v>
      </c>
      <c r="F47">
        <v>67.98</v>
      </c>
      <c r="G47" s="262">
        <f t="shared" si="0"/>
        <v>3.9926571821936596E-2</v>
      </c>
      <c r="I47"/>
      <c r="Q47"/>
      <c r="R47" s="480"/>
      <c r="V47"/>
      <c r="W47"/>
      <c r="X47"/>
    </row>
    <row r="48" spans="1:24">
      <c r="A48" t="s">
        <v>78</v>
      </c>
      <c r="B48" t="s">
        <v>652</v>
      </c>
      <c r="C48" t="s">
        <v>627</v>
      </c>
      <c r="D48" t="s">
        <v>127</v>
      </c>
      <c r="E48">
        <v>65.37</v>
      </c>
      <c r="F48">
        <v>67.98</v>
      </c>
      <c r="G48" s="262">
        <f t="shared" si="0"/>
        <v>3.9926571821936596E-2</v>
      </c>
      <c r="I48"/>
      <c r="Q48"/>
      <c r="R48" s="480"/>
      <c r="V48"/>
      <c r="W48"/>
      <c r="X48"/>
    </row>
    <row r="49" spans="1:24">
      <c r="A49" t="s">
        <v>79</v>
      </c>
      <c r="B49" t="s">
        <v>652</v>
      </c>
      <c r="C49" t="s">
        <v>630</v>
      </c>
      <c r="D49" t="s">
        <v>33</v>
      </c>
      <c r="E49">
        <v>65.37</v>
      </c>
      <c r="F49">
        <v>67.98</v>
      </c>
      <c r="G49" s="262">
        <f t="shared" si="0"/>
        <v>3.9926571821936596E-2</v>
      </c>
      <c r="I49"/>
      <c r="Q49"/>
      <c r="R49" s="480"/>
      <c r="V49"/>
      <c r="W49"/>
      <c r="X49"/>
    </row>
    <row r="50" spans="1:24">
      <c r="A50" t="s">
        <v>80</v>
      </c>
      <c r="B50" t="s">
        <v>652</v>
      </c>
      <c r="C50" t="s">
        <v>630</v>
      </c>
      <c r="D50" t="s">
        <v>127</v>
      </c>
      <c r="E50">
        <v>65.37</v>
      </c>
      <c r="F50">
        <v>67.98</v>
      </c>
      <c r="G50" s="262">
        <f t="shared" si="0"/>
        <v>3.9926571821936596E-2</v>
      </c>
      <c r="I50"/>
      <c r="Q50"/>
      <c r="R50" s="480"/>
      <c r="V50"/>
      <c r="W50"/>
      <c r="X50"/>
    </row>
    <row r="51" spans="1:24">
      <c r="A51" t="s">
        <v>480</v>
      </c>
      <c r="B51" t="s">
        <v>663</v>
      </c>
      <c r="C51" t="s">
        <v>630</v>
      </c>
      <c r="D51" t="s">
        <v>127</v>
      </c>
      <c r="E51">
        <v>21.48</v>
      </c>
      <c r="F51">
        <v>22.34</v>
      </c>
      <c r="G51" s="262">
        <f t="shared" si="0"/>
        <v>4.0037243947858459E-2</v>
      </c>
      <c r="I51"/>
      <c r="Q51"/>
      <c r="R51" s="480"/>
      <c r="V51"/>
      <c r="W51"/>
      <c r="X51"/>
    </row>
    <row r="52" spans="1:24">
      <c r="A52" t="s">
        <v>479</v>
      </c>
      <c r="B52" t="s">
        <v>663</v>
      </c>
      <c r="C52" t="s">
        <v>630</v>
      </c>
      <c r="D52" t="s">
        <v>33</v>
      </c>
      <c r="E52">
        <v>21.48</v>
      </c>
      <c r="F52">
        <v>22.34</v>
      </c>
      <c r="G52" s="262">
        <f t="shared" si="0"/>
        <v>4.0037243947858459E-2</v>
      </c>
      <c r="I52"/>
      <c r="Q52"/>
      <c r="R52" s="480"/>
      <c r="V52"/>
      <c r="W52"/>
      <c r="X52"/>
    </row>
    <row r="53" spans="1:24">
      <c r="A53" t="s">
        <v>336</v>
      </c>
      <c r="B53" t="s">
        <v>663</v>
      </c>
      <c r="C53" t="s">
        <v>623</v>
      </c>
      <c r="D53" t="s">
        <v>33</v>
      </c>
      <c r="E53">
        <v>21.48</v>
      </c>
      <c r="F53">
        <v>22.34</v>
      </c>
      <c r="G53" s="262">
        <f t="shared" si="0"/>
        <v>4.0037243947858459E-2</v>
      </c>
      <c r="I53"/>
      <c r="Q53"/>
      <c r="R53" s="480"/>
      <c r="V53"/>
      <c r="W53"/>
      <c r="X53"/>
    </row>
    <row r="54" spans="1:24">
      <c r="A54" t="s">
        <v>98</v>
      </c>
      <c r="B54" t="s">
        <v>669</v>
      </c>
      <c r="C54" t="s">
        <v>627</v>
      </c>
      <c r="D54" t="s">
        <v>127</v>
      </c>
      <c r="E54">
        <v>10.34</v>
      </c>
      <c r="F54">
        <v>0</v>
      </c>
      <c r="G54" s="262">
        <f t="shared" si="0"/>
        <v>-1</v>
      </c>
      <c r="I54"/>
      <c r="Q54"/>
      <c r="R54" s="480"/>
      <c r="V54"/>
      <c r="W54"/>
      <c r="X54"/>
    </row>
    <row r="55" spans="1:24">
      <c r="A55" t="s">
        <v>100</v>
      </c>
      <c r="B55" t="s">
        <v>669</v>
      </c>
      <c r="C55" t="s">
        <v>630</v>
      </c>
      <c r="D55" t="s">
        <v>127</v>
      </c>
      <c r="E55">
        <v>10.34</v>
      </c>
      <c r="F55">
        <v>0</v>
      </c>
      <c r="G55" s="262">
        <f t="shared" si="0"/>
        <v>-1</v>
      </c>
      <c r="I55"/>
      <c r="Q55"/>
      <c r="R55" s="480"/>
      <c r="V55"/>
      <c r="W55"/>
      <c r="X55"/>
    </row>
    <row r="56" spans="1:24">
      <c r="A56" t="s">
        <v>426</v>
      </c>
      <c r="B56" t="s">
        <v>663</v>
      </c>
      <c r="C56" t="s">
        <v>627</v>
      </c>
      <c r="D56" t="s">
        <v>33</v>
      </c>
      <c r="E56">
        <v>21.48</v>
      </c>
      <c r="F56">
        <v>22.34</v>
      </c>
      <c r="G56" s="262">
        <f t="shared" si="0"/>
        <v>4.0037243947858459E-2</v>
      </c>
      <c r="I56"/>
      <c r="Q56"/>
      <c r="R56" s="480"/>
      <c r="V56"/>
      <c r="W56"/>
      <c r="X56"/>
    </row>
    <row r="57" spans="1:24">
      <c r="A57" t="s">
        <v>427</v>
      </c>
      <c r="B57" t="s">
        <v>663</v>
      </c>
      <c r="C57" t="s">
        <v>627</v>
      </c>
      <c r="D57" t="s">
        <v>127</v>
      </c>
      <c r="E57">
        <v>21.48</v>
      </c>
      <c r="F57">
        <v>22.34</v>
      </c>
      <c r="G57" s="262">
        <f t="shared" si="0"/>
        <v>4.0037243947858459E-2</v>
      </c>
      <c r="I57"/>
      <c r="Q57"/>
      <c r="R57" s="480"/>
      <c r="V57"/>
      <c r="W57"/>
      <c r="X57"/>
    </row>
    <row r="58" spans="1:24">
      <c r="A58" t="s">
        <v>351</v>
      </c>
      <c r="B58" t="s">
        <v>671</v>
      </c>
      <c r="C58" t="s">
        <v>623</v>
      </c>
      <c r="D58" t="s">
        <v>33</v>
      </c>
      <c r="E58">
        <v>450.42</v>
      </c>
      <c r="F58">
        <v>468.44</v>
      </c>
      <c r="G58" s="262">
        <f t="shared" si="0"/>
        <v>4.000710448026279E-2</v>
      </c>
      <c r="I58"/>
      <c r="Q58"/>
      <c r="R58" s="480"/>
      <c r="V58"/>
      <c r="W58"/>
      <c r="X58"/>
    </row>
    <row r="59" spans="1:24">
      <c r="A59" t="s">
        <v>107</v>
      </c>
      <c r="B59" t="s">
        <v>671</v>
      </c>
      <c r="C59" t="s">
        <v>627</v>
      </c>
      <c r="D59" t="s">
        <v>33</v>
      </c>
      <c r="E59">
        <v>450.42</v>
      </c>
      <c r="F59">
        <v>468.44</v>
      </c>
      <c r="G59" s="262">
        <f t="shared" si="0"/>
        <v>4.000710448026279E-2</v>
      </c>
      <c r="I59"/>
      <c r="Q59"/>
      <c r="R59" s="480"/>
      <c r="V59"/>
      <c r="W59"/>
      <c r="X59"/>
    </row>
    <row r="60" spans="1:24">
      <c r="A60" t="s">
        <v>108</v>
      </c>
      <c r="B60" t="s">
        <v>671</v>
      </c>
      <c r="C60" t="s">
        <v>627</v>
      </c>
      <c r="D60" t="s">
        <v>127</v>
      </c>
      <c r="E60">
        <v>450.42</v>
      </c>
      <c r="F60">
        <v>468.44</v>
      </c>
      <c r="G60" s="262">
        <f t="shared" si="0"/>
        <v>4.000710448026279E-2</v>
      </c>
      <c r="I60"/>
      <c r="Q60"/>
      <c r="R60" s="480"/>
      <c r="V60"/>
      <c r="W60"/>
      <c r="X60"/>
    </row>
    <row r="61" spans="1:24">
      <c r="A61" t="s">
        <v>109</v>
      </c>
      <c r="B61" t="s">
        <v>671</v>
      </c>
      <c r="C61" t="s">
        <v>630</v>
      </c>
      <c r="D61" t="s">
        <v>33</v>
      </c>
      <c r="E61">
        <v>450.42</v>
      </c>
      <c r="F61">
        <v>468.44</v>
      </c>
      <c r="G61" s="262">
        <f t="shared" si="0"/>
        <v>4.000710448026279E-2</v>
      </c>
      <c r="I61"/>
      <c r="Q61"/>
      <c r="R61" s="480"/>
      <c r="V61"/>
      <c r="W61"/>
      <c r="X61"/>
    </row>
    <row r="62" spans="1:24">
      <c r="A62" t="s">
        <v>110</v>
      </c>
      <c r="B62" t="s">
        <v>671</v>
      </c>
      <c r="C62" t="s">
        <v>630</v>
      </c>
      <c r="D62" t="s">
        <v>127</v>
      </c>
      <c r="E62">
        <v>450.42</v>
      </c>
      <c r="F62">
        <v>468.44</v>
      </c>
      <c r="G62" s="262">
        <f t="shared" si="0"/>
        <v>4.000710448026279E-2</v>
      </c>
      <c r="I62"/>
      <c r="Q62"/>
      <c r="R62" s="480"/>
      <c r="V62"/>
      <c r="W62"/>
      <c r="X62"/>
    </row>
    <row r="63" spans="1:24">
      <c r="A63" t="s">
        <v>353</v>
      </c>
      <c r="B63" t="s">
        <v>671</v>
      </c>
      <c r="C63" t="s">
        <v>623</v>
      </c>
      <c r="D63" t="s">
        <v>33</v>
      </c>
      <c r="E63">
        <v>32.340000000000003</v>
      </c>
      <c r="F63">
        <v>33.630000000000003</v>
      </c>
      <c r="G63" s="262">
        <f t="shared" si="0"/>
        <v>3.9888682745825577E-2</v>
      </c>
      <c r="I63"/>
      <c r="Q63"/>
      <c r="R63" s="480"/>
      <c r="V63"/>
      <c r="W63"/>
      <c r="X63"/>
    </row>
    <row r="64" spans="1:24">
      <c r="A64" t="s">
        <v>112</v>
      </c>
      <c r="B64" t="s">
        <v>671</v>
      </c>
      <c r="C64" t="s">
        <v>627</v>
      </c>
      <c r="D64" t="s">
        <v>33</v>
      </c>
      <c r="E64">
        <v>32.340000000000003</v>
      </c>
      <c r="F64">
        <v>33.630000000000003</v>
      </c>
      <c r="G64" s="262">
        <f t="shared" si="0"/>
        <v>3.9888682745825577E-2</v>
      </c>
      <c r="I64"/>
      <c r="Q64"/>
      <c r="R64" s="480"/>
      <c r="V64"/>
      <c r="W64"/>
      <c r="X64"/>
    </row>
    <row r="65" spans="1:24">
      <c r="A65" t="s">
        <v>113</v>
      </c>
      <c r="B65" t="s">
        <v>671</v>
      </c>
      <c r="C65" t="s">
        <v>627</v>
      </c>
      <c r="D65" t="s">
        <v>127</v>
      </c>
      <c r="E65">
        <v>32.340000000000003</v>
      </c>
      <c r="F65">
        <v>33.630000000000003</v>
      </c>
      <c r="G65" s="262">
        <f t="shared" si="0"/>
        <v>3.9888682745825577E-2</v>
      </c>
      <c r="I65"/>
      <c r="Q65"/>
      <c r="R65" s="480"/>
      <c r="V65"/>
      <c r="W65"/>
      <c r="X65"/>
    </row>
    <row r="66" spans="1:24">
      <c r="A66" t="s">
        <v>114</v>
      </c>
      <c r="B66" t="s">
        <v>671</v>
      </c>
      <c r="C66" t="s">
        <v>630</v>
      </c>
      <c r="D66" t="s">
        <v>33</v>
      </c>
      <c r="E66">
        <v>32.340000000000003</v>
      </c>
      <c r="F66">
        <v>33.630000000000003</v>
      </c>
      <c r="G66" s="262">
        <f t="shared" si="0"/>
        <v>3.9888682745825577E-2</v>
      </c>
      <c r="I66"/>
      <c r="Q66"/>
      <c r="R66" s="480"/>
      <c r="V66"/>
      <c r="W66"/>
      <c r="X66"/>
    </row>
    <row r="67" spans="1:24">
      <c r="A67" t="s">
        <v>115</v>
      </c>
      <c r="B67" t="s">
        <v>671</v>
      </c>
      <c r="C67" t="s">
        <v>630</v>
      </c>
      <c r="D67" t="s">
        <v>127</v>
      </c>
      <c r="E67">
        <v>32.340000000000003</v>
      </c>
      <c r="F67">
        <v>33.630000000000003</v>
      </c>
      <c r="G67" s="262">
        <f t="shared" si="0"/>
        <v>3.9888682745825577E-2</v>
      </c>
      <c r="I67"/>
      <c r="Q67"/>
      <c r="R67" s="480"/>
      <c r="V67"/>
      <c r="W67"/>
      <c r="X67"/>
    </row>
    <row r="68" spans="1:24">
      <c r="A68" t="s">
        <v>347</v>
      </c>
      <c r="B68" t="s">
        <v>647</v>
      </c>
      <c r="C68" t="s">
        <v>623</v>
      </c>
      <c r="D68" t="s">
        <v>33</v>
      </c>
      <c r="E68">
        <v>1200</v>
      </c>
      <c r="F68">
        <v>1200</v>
      </c>
      <c r="G68" s="262">
        <f t="shared" si="0"/>
        <v>0</v>
      </c>
      <c r="I68"/>
      <c r="Q68"/>
      <c r="R68" s="480"/>
      <c r="W68"/>
      <c r="X68"/>
    </row>
    <row r="69" spans="1:24">
      <c r="A69" t="s">
        <v>37</v>
      </c>
      <c r="B69" t="s">
        <v>787</v>
      </c>
      <c r="C69" t="s">
        <v>627</v>
      </c>
      <c r="D69" t="s">
        <v>127</v>
      </c>
      <c r="E69">
        <v>1089</v>
      </c>
      <c r="F69">
        <v>1133</v>
      </c>
      <c r="G69" s="262">
        <f t="shared" si="0"/>
        <v>4.0404040404040442E-2</v>
      </c>
      <c r="I69"/>
      <c r="Q69"/>
      <c r="R69" s="480"/>
      <c r="W69"/>
      <c r="X69"/>
    </row>
    <row r="70" spans="1:24">
      <c r="A70" t="s">
        <v>40</v>
      </c>
      <c r="B70" t="s">
        <v>789</v>
      </c>
      <c r="C70" t="s">
        <v>627</v>
      </c>
      <c r="D70" t="s">
        <v>127</v>
      </c>
      <c r="E70">
        <v>1089</v>
      </c>
      <c r="F70">
        <v>1133</v>
      </c>
      <c r="G70" s="262">
        <f t="shared" si="0"/>
        <v>4.0404040404040442E-2</v>
      </c>
      <c r="I70"/>
      <c r="Q70"/>
      <c r="R70" s="480"/>
      <c r="W70"/>
      <c r="X70"/>
    </row>
    <row r="71" spans="1:24">
      <c r="A71" t="s">
        <v>354</v>
      </c>
      <c r="B71" t="s">
        <v>671</v>
      </c>
      <c r="C71" t="s">
        <v>623</v>
      </c>
      <c r="D71" t="s">
        <v>127</v>
      </c>
      <c r="E71">
        <v>32.340000000000003</v>
      </c>
      <c r="F71">
        <v>33.630000000000003</v>
      </c>
      <c r="G71" s="262">
        <f t="shared" si="0"/>
        <v>3.9888682745825577E-2</v>
      </c>
      <c r="I71"/>
      <c r="Q71"/>
      <c r="R71" s="480"/>
      <c r="W71"/>
      <c r="X71"/>
    </row>
    <row r="72" spans="1:24">
      <c r="A72" t="s">
        <v>42</v>
      </c>
      <c r="B72" t="s">
        <v>789</v>
      </c>
      <c r="C72" t="s">
        <v>627</v>
      </c>
      <c r="D72" t="s">
        <v>127</v>
      </c>
      <c r="E72">
        <v>1089</v>
      </c>
      <c r="F72">
        <v>1133</v>
      </c>
      <c r="G72" s="262">
        <f t="shared" si="0"/>
        <v>4.0404040404040442E-2</v>
      </c>
      <c r="I72"/>
      <c r="Q72"/>
      <c r="R72" s="480"/>
      <c r="W72"/>
      <c r="X72"/>
    </row>
    <row r="73" spans="1:24">
      <c r="A73"/>
      <c r="B73"/>
      <c r="C73"/>
      <c r="D73"/>
      <c r="E73"/>
      <c r="F73"/>
      <c r="G73" s="262" t="e">
        <f t="shared" si="0"/>
        <v>#DIV/0!</v>
      </c>
      <c r="I73"/>
      <c r="Q73"/>
      <c r="R73" s="480"/>
      <c r="W73"/>
      <c r="X73"/>
    </row>
    <row r="74" spans="1:24">
      <c r="A74"/>
      <c r="B74"/>
      <c r="C74"/>
      <c r="D74"/>
      <c r="E74"/>
      <c r="F74"/>
      <c r="G74"/>
      <c r="I74"/>
      <c r="Q74"/>
      <c r="R74" s="480"/>
      <c r="W74"/>
      <c r="X74"/>
    </row>
    <row r="75" spans="1:24">
      <c r="A75"/>
      <c r="B75"/>
      <c r="C75"/>
      <c r="D75"/>
      <c r="E75"/>
      <c r="F75"/>
      <c r="G75"/>
      <c r="I75"/>
      <c r="Q75"/>
      <c r="R75" s="480"/>
      <c r="W75"/>
      <c r="X75"/>
    </row>
    <row r="76" spans="1:24">
      <c r="A76"/>
      <c r="B76"/>
      <c r="C76"/>
      <c r="D76"/>
      <c r="E76"/>
      <c r="F76"/>
      <c r="G76"/>
      <c r="I76"/>
      <c r="Q76"/>
      <c r="R76" s="480"/>
      <c r="W76"/>
      <c r="X76"/>
    </row>
    <row r="77" spans="1:24">
      <c r="A77"/>
      <c r="B77"/>
      <c r="C77"/>
      <c r="D77"/>
      <c r="E77"/>
      <c r="F77"/>
      <c r="G77"/>
      <c r="I77"/>
      <c r="Q77"/>
      <c r="R77" s="480"/>
      <c r="W77"/>
      <c r="X77"/>
    </row>
    <row r="78" spans="1:24">
      <c r="A78"/>
      <c r="B78"/>
      <c r="C78"/>
      <c r="D78"/>
      <c r="E78"/>
      <c r="F78"/>
      <c r="G78"/>
      <c r="I78"/>
      <c r="Q78"/>
      <c r="R78" s="480"/>
      <c r="W78"/>
      <c r="X78"/>
    </row>
    <row r="79" spans="1:24">
      <c r="A79"/>
      <c r="B79"/>
      <c r="C79"/>
      <c r="D79"/>
      <c r="E79"/>
      <c r="F79"/>
      <c r="G79"/>
      <c r="I79"/>
      <c r="Q79"/>
      <c r="R79" s="480"/>
      <c r="W79"/>
      <c r="X79"/>
    </row>
    <row r="80" spans="1:24">
      <c r="A80"/>
      <c r="B80"/>
      <c r="C80"/>
      <c r="D80"/>
      <c r="E80"/>
      <c r="F80"/>
      <c r="G80"/>
      <c r="I80"/>
      <c r="Q80"/>
      <c r="R80" s="480"/>
      <c r="W80"/>
      <c r="X80"/>
    </row>
    <row r="81" spans="1:24">
      <c r="A81"/>
      <c r="B81"/>
      <c r="C81"/>
      <c r="D81"/>
      <c r="E81"/>
      <c r="F81"/>
      <c r="G81"/>
      <c r="I81"/>
      <c r="Q81"/>
      <c r="R81" s="480"/>
      <c r="W81"/>
      <c r="X81"/>
    </row>
    <row r="82" spans="1:24">
      <c r="A82"/>
      <c r="B82"/>
      <c r="C82"/>
      <c r="D82"/>
      <c r="E82"/>
      <c r="F82"/>
      <c r="G82"/>
      <c r="I82"/>
      <c r="Q82"/>
      <c r="R82" s="480"/>
      <c r="W82"/>
      <c r="X82"/>
    </row>
    <row r="83" spans="1:24">
      <c r="A83"/>
      <c r="B83"/>
      <c r="C83"/>
      <c r="D83"/>
      <c r="E83"/>
      <c r="F83"/>
      <c r="G83"/>
      <c r="I83"/>
      <c r="Q83"/>
      <c r="R83" s="480"/>
      <c r="W83"/>
      <c r="X83"/>
    </row>
    <row r="84" spans="1:24">
      <c r="A84"/>
      <c r="B84"/>
      <c r="C84"/>
      <c r="D84"/>
      <c r="E84"/>
      <c r="F84"/>
      <c r="G84"/>
      <c r="I84"/>
      <c r="Q84"/>
      <c r="R84" s="480"/>
      <c r="W84"/>
      <c r="X84"/>
    </row>
    <row r="85" spans="1:24">
      <c r="A85"/>
      <c r="B85"/>
      <c r="C85"/>
      <c r="D85"/>
      <c r="E85"/>
      <c r="F85"/>
      <c r="G85"/>
      <c r="I85"/>
      <c r="Q85"/>
      <c r="R85" s="480"/>
      <c r="W85"/>
      <c r="X85"/>
    </row>
    <row r="86" spans="1:24">
      <c r="A86"/>
      <c r="B86"/>
      <c r="C86"/>
      <c r="D86"/>
      <c r="E86"/>
      <c r="F86"/>
      <c r="G86"/>
      <c r="I86"/>
      <c r="Q86"/>
      <c r="R86" s="480"/>
      <c r="W86"/>
      <c r="X86"/>
    </row>
    <row r="87" spans="1:24">
      <c r="A87"/>
      <c r="B87"/>
      <c r="C87"/>
      <c r="D87"/>
      <c r="E87"/>
      <c r="F87"/>
      <c r="G87"/>
      <c r="I87"/>
      <c r="Q87"/>
      <c r="R87" s="480"/>
      <c r="W87"/>
      <c r="X87"/>
    </row>
    <row r="88" spans="1:24">
      <c r="A88"/>
      <c r="B88"/>
      <c r="C88"/>
      <c r="D88"/>
      <c r="E88"/>
      <c r="F88"/>
      <c r="G88"/>
      <c r="I88"/>
      <c r="Q88"/>
      <c r="R88" s="480"/>
      <c r="W88"/>
      <c r="X88"/>
    </row>
    <row r="89" spans="1:24">
      <c r="A89"/>
      <c r="B89"/>
      <c r="C89"/>
      <c r="D89"/>
      <c r="E89"/>
      <c r="F89"/>
      <c r="G89"/>
      <c r="I89"/>
      <c r="Q89"/>
      <c r="R89" s="480"/>
      <c r="W89"/>
      <c r="X89"/>
    </row>
    <row r="90" spans="1:24">
      <c r="A90"/>
      <c r="B90"/>
      <c r="C90"/>
      <c r="D90"/>
      <c r="E90"/>
      <c r="F90"/>
      <c r="G90"/>
      <c r="I90"/>
      <c r="Q90"/>
      <c r="R90" s="480"/>
      <c r="W90"/>
      <c r="X90"/>
    </row>
    <row r="91" spans="1:24">
      <c r="A91"/>
      <c r="B91"/>
      <c r="C91"/>
      <c r="D91"/>
      <c r="E91"/>
      <c r="F91"/>
      <c r="G91"/>
      <c r="I91"/>
      <c r="Q91"/>
      <c r="R91" s="480"/>
      <c r="W91"/>
      <c r="X91"/>
    </row>
    <row r="92" spans="1:24">
      <c r="A92"/>
      <c r="B92"/>
      <c r="C92"/>
      <c r="D92"/>
      <c r="E92"/>
      <c r="F92"/>
      <c r="G92"/>
      <c r="I92"/>
      <c r="Q92"/>
      <c r="R92" s="480"/>
      <c r="W92"/>
      <c r="X92"/>
    </row>
    <row r="93" spans="1:24">
      <c r="A93"/>
      <c r="B93"/>
      <c r="C93"/>
      <c r="D93"/>
      <c r="E93"/>
      <c r="F93"/>
      <c r="G93"/>
      <c r="I93"/>
      <c r="Q93"/>
      <c r="R93" s="480"/>
      <c r="W93"/>
      <c r="X93"/>
    </row>
    <row r="94" spans="1:24">
      <c r="A94"/>
      <c r="B94"/>
      <c r="C94"/>
      <c r="D94"/>
      <c r="E94"/>
      <c r="F94"/>
      <c r="G94"/>
      <c r="I94"/>
      <c r="Q94"/>
      <c r="R94" s="480"/>
      <c r="W94"/>
      <c r="X94"/>
    </row>
    <row r="95" spans="1:24">
      <c r="A95"/>
      <c r="B95"/>
      <c r="C95"/>
      <c r="D95"/>
      <c r="E95"/>
      <c r="F95"/>
      <c r="G95"/>
      <c r="I95"/>
      <c r="Q95"/>
      <c r="R95" s="480"/>
      <c r="W95"/>
      <c r="X95"/>
    </row>
    <row r="96" spans="1:24">
      <c r="A96"/>
      <c r="B96"/>
      <c r="C96"/>
      <c r="D96"/>
      <c r="E96"/>
      <c r="F96"/>
      <c r="G96"/>
      <c r="I96"/>
      <c r="Q96"/>
      <c r="R96" s="480"/>
      <c r="W96"/>
      <c r="X96"/>
    </row>
    <row r="97" spans="1:24">
      <c r="A97"/>
      <c r="B97"/>
      <c r="C97"/>
      <c r="D97"/>
      <c r="E97"/>
      <c r="F97"/>
      <c r="G97"/>
      <c r="I97"/>
      <c r="Q97"/>
      <c r="R97" s="480"/>
      <c r="W97"/>
      <c r="X97"/>
    </row>
    <row r="98" spans="1:24">
      <c r="A98"/>
      <c r="B98"/>
      <c r="C98"/>
      <c r="D98"/>
      <c r="E98"/>
      <c r="F98"/>
      <c r="G98"/>
      <c r="I98"/>
      <c r="Q98"/>
      <c r="R98" s="480"/>
      <c r="W98"/>
      <c r="X98"/>
    </row>
    <row r="99" spans="1:24">
      <c r="A99"/>
      <c r="B99"/>
      <c r="C99"/>
      <c r="D99"/>
      <c r="E99"/>
      <c r="F99"/>
      <c r="G99"/>
      <c r="I99"/>
      <c r="Q99"/>
      <c r="R99" s="480"/>
      <c r="W99"/>
      <c r="X99"/>
    </row>
    <row r="100" spans="1:24">
      <c r="A100"/>
      <c r="B100"/>
      <c r="C100"/>
      <c r="D100"/>
      <c r="E100"/>
      <c r="F100"/>
      <c r="G100"/>
      <c r="I100"/>
      <c r="Q100"/>
      <c r="R100" s="480"/>
      <c r="W100"/>
      <c r="X100"/>
    </row>
    <row r="101" spans="1:24">
      <c r="A101"/>
      <c r="B101"/>
      <c r="C101"/>
      <c r="D101"/>
      <c r="E101"/>
      <c r="F101"/>
      <c r="G101"/>
      <c r="I101"/>
      <c r="Q101"/>
      <c r="R101" s="480"/>
      <c r="W101"/>
      <c r="X101"/>
    </row>
    <row r="102" spans="1:24">
      <c r="A102"/>
      <c r="B102"/>
      <c r="C102"/>
      <c r="D102"/>
      <c r="E102"/>
      <c r="F102"/>
      <c r="G102"/>
      <c r="I102"/>
      <c r="Q102"/>
      <c r="R102" s="480"/>
      <c r="W102"/>
      <c r="X102"/>
    </row>
    <row r="103" spans="1:24">
      <c r="A103"/>
      <c r="B103"/>
      <c r="C103"/>
      <c r="D103"/>
      <c r="E103"/>
      <c r="F103"/>
      <c r="G103"/>
      <c r="I103"/>
      <c r="Q103"/>
      <c r="R103" s="480"/>
      <c r="W103"/>
      <c r="X103"/>
    </row>
    <row r="104" spans="1:24">
      <c r="A104"/>
      <c r="B104"/>
      <c r="C104"/>
      <c r="D104"/>
      <c r="E104"/>
      <c r="F104"/>
      <c r="G104"/>
      <c r="I104"/>
      <c r="Q104"/>
      <c r="R104" s="480"/>
      <c r="W104"/>
      <c r="X104"/>
    </row>
    <row r="105" spans="1:24">
      <c r="A105"/>
      <c r="B105"/>
      <c r="C105"/>
      <c r="D105"/>
      <c r="E105"/>
      <c r="F105"/>
      <c r="G105"/>
      <c r="I105"/>
      <c r="Q105"/>
      <c r="R105" s="480"/>
      <c r="W105"/>
      <c r="X105"/>
    </row>
    <row r="106" spans="1:24">
      <c r="A106"/>
      <c r="B106"/>
      <c r="C106"/>
      <c r="D106"/>
      <c r="E106"/>
      <c r="F106"/>
      <c r="G106"/>
      <c r="I106"/>
      <c r="Q106"/>
      <c r="R106" s="480"/>
      <c r="W106"/>
      <c r="X106"/>
    </row>
    <row r="107" spans="1:24">
      <c r="A107"/>
      <c r="B107"/>
      <c r="C107"/>
      <c r="D107"/>
      <c r="E107"/>
      <c r="F107"/>
      <c r="G107"/>
      <c r="I107"/>
      <c r="Q107"/>
      <c r="R107" s="480"/>
      <c r="W107"/>
      <c r="X107"/>
    </row>
    <row r="108" spans="1:24">
      <c r="A108"/>
      <c r="B108"/>
      <c r="C108"/>
      <c r="D108"/>
      <c r="E108"/>
      <c r="F108"/>
      <c r="G108"/>
      <c r="I108"/>
      <c r="Q108"/>
      <c r="R108" s="480"/>
      <c r="W108"/>
      <c r="X108"/>
    </row>
    <row r="109" spans="1:24">
      <c r="A109"/>
      <c r="B109"/>
      <c r="C109"/>
      <c r="D109"/>
      <c r="E109"/>
      <c r="F109"/>
      <c r="G109"/>
      <c r="I109"/>
      <c r="Q109"/>
      <c r="R109" s="480"/>
      <c r="W109"/>
      <c r="X109"/>
    </row>
    <row r="110" spans="1:24">
      <c r="A110"/>
      <c r="B110"/>
      <c r="C110"/>
      <c r="D110"/>
      <c r="E110"/>
      <c r="F110"/>
      <c r="G110"/>
      <c r="I110"/>
      <c r="Q110"/>
      <c r="R110" s="480"/>
      <c r="W110"/>
      <c r="X110"/>
    </row>
    <row r="111" spans="1:24">
      <c r="A111"/>
      <c r="B111"/>
      <c r="C111"/>
      <c r="D111"/>
      <c r="E111"/>
      <c r="F111"/>
      <c r="G111"/>
      <c r="I111"/>
      <c r="Q111"/>
      <c r="R111" s="480"/>
      <c r="W111"/>
      <c r="X111"/>
    </row>
    <row r="112" spans="1:24">
      <c r="A112"/>
      <c r="B112"/>
      <c r="C112"/>
      <c r="D112"/>
      <c r="E112"/>
      <c r="F112"/>
      <c r="G112"/>
      <c r="I112"/>
      <c r="Q112"/>
      <c r="R112" s="480"/>
      <c r="W112"/>
      <c r="X112"/>
    </row>
    <row r="113" spans="1:24">
      <c r="A113"/>
      <c r="B113"/>
      <c r="C113"/>
      <c r="D113"/>
      <c r="E113"/>
      <c r="F113"/>
      <c r="G113"/>
      <c r="I113"/>
      <c r="Q113"/>
      <c r="R113" s="480"/>
      <c r="W113"/>
      <c r="X113"/>
    </row>
    <row r="114" spans="1:24">
      <c r="A114"/>
      <c r="B114"/>
      <c r="C114"/>
      <c r="D114"/>
      <c r="E114"/>
      <c r="F114"/>
      <c r="G114"/>
      <c r="I114"/>
      <c r="Q114"/>
      <c r="R114" s="480"/>
      <c r="W114"/>
      <c r="X114"/>
    </row>
    <row r="115" spans="1:24">
      <c r="A115"/>
      <c r="B115"/>
      <c r="C115"/>
      <c r="D115"/>
      <c r="E115"/>
      <c r="F115"/>
      <c r="G115"/>
      <c r="I115"/>
      <c r="Q115"/>
      <c r="R115" s="480"/>
      <c r="W115"/>
      <c r="X115"/>
    </row>
    <row r="116" spans="1:24">
      <c r="A116"/>
      <c r="B116"/>
      <c r="C116"/>
      <c r="D116"/>
      <c r="E116"/>
      <c r="F116"/>
      <c r="G116"/>
      <c r="I116"/>
      <c r="Q116"/>
      <c r="R116" s="480"/>
      <c r="W116"/>
      <c r="X116"/>
    </row>
    <row r="117" spans="1:24">
      <c r="A117"/>
      <c r="B117"/>
      <c r="C117"/>
      <c r="D117"/>
      <c r="E117"/>
      <c r="F117"/>
      <c r="G117"/>
      <c r="I117"/>
      <c r="Q117"/>
      <c r="R117" s="480"/>
      <c r="W117"/>
      <c r="X117"/>
    </row>
    <row r="118" spans="1:24">
      <c r="A118"/>
      <c r="B118"/>
      <c r="C118"/>
      <c r="D118"/>
      <c r="E118"/>
      <c r="F118"/>
      <c r="G118"/>
      <c r="I118"/>
      <c r="Q118"/>
      <c r="R118" s="480"/>
      <c r="W118"/>
      <c r="X118"/>
    </row>
    <row r="119" spans="1:24">
      <c r="A119"/>
      <c r="B119"/>
      <c r="C119"/>
      <c r="D119"/>
      <c r="E119"/>
      <c r="F119"/>
      <c r="G119"/>
      <c r="I119"/>
      <c r="Q119"/>
      <c r="R119" s="480"/>
      <c r="W119"/>
      <c r="X119"/>
    </row>
    <row r="120" spans="1:24">
      <c r="A120"/>
      <c r="B120"/>
      <c r="C120"/>
      <c r="D120"/>
      <c r="E120"/>
      <c r="F120"/>
      <c r="G120"/>
      <c r="I120"/>
      <c r="Q120"/>
      <c r="R120" s="480"/>
      <c r="W120"/>
      <c r="X120"/>
    </row>
    <row r="121" spans="1:24">
      <c r="A121"/>
      <c r="B121"/>
      <c r="C121"/>
      <c r="D121"/>
      <c r="E121"/>
      <c r="F121"/>
      <c r="G121"/>
      <c r="I121"/>
      <c r="Q121"/>
      <c r="R121" s="480"/>
      <c r="W121"/>
      <c r="X121"/>
    </row>
    <row r="122" spans="1:24">
      <c r="A122"/>
      <c r="B122"/>
      <c r="C122"/>
      <c r="D122"/>
      <c r="E122"/>
      <c r="F122"/>
      <c r="G122"/>
      <c r="I122"/>
      <c r="Q122"/>
      <c r="R122" s="480"/>
      <c r="W122"/>
      <c r="X122"/>
    </row>
    <row r="123" spans="1:24">
      <c r="A123"/>
      <c r="B123"/>
      <c r="C123"/>
      <c r="D123"/>
      <c r="E123"/>
      <c r="F123"/>
      <c r="G123"/>
      <c r="I123"/>
      <c r="Q123"/>
      <c r="R123" s="480"/>
      <c r="W123"/>
      <c r="X123"/>
    </row>
    <row r="124" spans="1:24">
      <c r="A124"/>
      <c r="B124"/>
      <c r="C124"/>
      <c r="D124"/>
      <c r="E124"/>
      <c r="F124"/>
      <c r="G124"/>
      <c r="I124"/>
      <c r="Q124"/>
      <c r="R124" s="480"/>
      <c r="W124"/>
      <c r="X124"/>
    </row>
    <row r="125" spans="1:24">
      <c r="A125"/>
      <c r="B125"/>
      <c r="C125"/>
      <c r="D125"/>
      <c r="E125"/>
      <c r="F125"/>
      <c r="G125"/>
      <c r="I125"/>
      <c r="Q125"/>
      <c r="R125" s="480"/>
      <c r="W125"/>
      <c r="X125"/>
    </row>
    <row r="126" spans="1:24">
      <c r="A126"/>
      <c r="B126"/>
      <c r="C126"/>
      <c r="D126"/>
      <c r="E126"/>
      <c r="F126"/>
      <c r="G126"/>
      <c r="I126"/>
      <c r="Q126"/>
      <c r="R126" s="480"/>
      <c r="W126"/>
      <c r="X126"/>
    </row>
    <row r="127" spans="1:24">
      <c r="A127"/>
      <c r="B127"/>
      <c r="C127"/>
      <c r="D127"/>
      <c r="E127"/>
      <c r="F127"/>
      <c r="G127"/>
      <c r="I127"/>
      <c r="Q127"/>
      <c r="R127" s="480"/>
      <c r="W127"/>
      <c r="X127"/>
    </row>
    <row r="128" spans="1:24">
      <c r="A128"/>
      <c r="B128"/>
      <c r="C128"/>
      <c r="D128"/>
      <c r="E128"/>
      <c r="F128"/>
      <c r="G128"/>
      <c r="I128"/>
      <c r="Q128"/>
      <c r="R128" s="480"/>
      <c r="W128"/>
      <c r="X128"/>
    </row>
    <row r="129" spans="1:24">
      <c r="A129"/>
      <c r="B129"/>
      <c r="C129"/>
      <c r="D129"/>
      <c r="E129"/>
      <c r="F129"/>
      <c r="G129"/>
      <c r="I129"/>
      <c r="Q129"/>
      <c r="R129" s="480"/>
      <c r="W129"/>
      <c r="X129"/>
    </row>
    <row r="130" spans="1:24">
      <c r="A130"/>
      <c r="B130"/>
      <c r="C130"/>
      <c r="D130"/>
      <c r="E130"/>
      <c r="F130"/>
      <c r="G130"/>
      <c r="I130"/>
      <c r="Q130"/>
      <c r="R130" s="480"/>
      <c r="W130"/>
      <c r="X130"/>
    </row>
    <row r="131" spans="1:24">
      <c r="A131"/>
      <c r="B131"/>
      <c r="C131"/>
      <c r="D131"/>
      <c r="E131"/>
      <c r="F131"/>
      <c r="G131"/>
      <c r="I131"/>
      <c r="Q131"/>
      <c r="R131" s="480"/>
      <c r="W131"/>
      <c r="X131"/>
    </row>
    <row r="132" spans="1:24">
      <c r="A132"/>
      <c r="B132"/>
      <c r="C132"/>
      <c r="D132"/>
      <c r="E132"/>
      <c r="F132"/>
      <c r="G132"/>
      <c r="I132"/>
      <c r="Q132"/>
      <c r="R132" s="480"/>
      <c r="W132"/>
      <c r="X132"/>
    </row>
    <row r="133" spans="1:24">
      <c r="A133"/>
      <c r="B133"/>
      <c r="C133"/>
      <c r="D133"/>
      <c r="E133"/>
      <c r="F133"/>
      <c r="G133"/>
      <c r="I133"/>
      <c r="Q133"/>
      <c r="R133" s="480"/>
      <c r="W133"/>
      <c r="X133"/>
    </row>
    <row r="134" spans="1:24">
      <c r="A134"/>
      <c r="B134"/>
      <c r="C134"/>
      <c r="D134"/>
      <c r="E134"/>
      <c r="F134"/>
      <c r="G134"/>
      <c r="I134"/>
      <c r="Q134"/>
      <c r="R134" s="480"/>
      <c r="W134"/>
      <c r="X134"/>
    </row>
    <row r="135" spans="1:24">
      <c r="A135"/>
      <c r="B135"/>
      <c r="C135"/>
      <c r="D135"/>
      <c r="E135"/>
      <c r="F135"/>
      <c r="G135"/>
      <c r="I135"/>
      <c r="Q135"/>
      <c r="R135" s="480"/>
      <c r="W135"/>
      <c r="X135"/>
    </row>
    <row r="136" spans="1:24">
      <c r="A136"/>
      <c r="B136"/>
      <c r="C136"/>
      <c r="D136"/>
      <c r="E136"/>
      <c r="F136"/>
      <c r="G136"/>
      <c r="I136"/>
      <c r="Q136"/>
      <c r="R136" s="480"/>
      <c r="W136"/>
      <c r="X136"/>
    </row>
    <row r="137" spans="1:24">
      <c r="A137"/>
      <c r="B137"/>
      <c r="C137"/>
      <c r="D137"/>
      <c r="E137"/>
      <c r="F137"/>
      <c r="G137"/>
      <c r="I137"/>
      <c r="Q137"/>
      <c r="R137" s="480"/>
      <c r="W137"/>
      <c r="X137"/>
    </row>
    <row r="138" spans="1:24">
      <c r="A138"/>
      <c r="B138"/>
      <c r="C138"/>
      <c r="D138"/>
      <c r="E138"/>
      <c r="F138"/>
      <c r="G138"/>
      <c r="I138"/>
      <c r="Q138"/>
      <c r="R138" s="480"/>
      <c r="W138"/>
      <c r="X138"/>
    </row>
    <row r="139" spans="1:24">
      <c r="A139"/>
      <c r="B139"/>
      <c r="C139"/>
      <c r="D139"/>
      <c r="E139"/>
      <c r="F139"/>
      <c r="G139"/>
      <c r="I139"/>
      <c r="Q139"/>
      <c r="R139" s="480"/>
      <c r="W139"/>
      <c r="X139"/>
    </row>
    <row r="140" spans="1:24">
      <c r="A140"/>
      <c r="B140"/>
      <c r="C140"/>
      <c r="D140"/>
      <c r="E140"/>
      <c r="F140"/>
      <c r="G140"/>
      <c r="I140"/>
      <c r="R140" s="480"/>
    </row>
    <row r="141" spans="1:24">
      <c r="A141"/>
      <c r="B141"/>
      <c r="C141"/>
      <c r="D141"/>
      <c r="E141"/>
      <c r="F141"/>
      <c r="G141"/>
      <c r="I141"/>
      <c r="R141" s="480"/>
    </row>
    <row r="142" spans="1:24">
      <c r="A142"/>
      <c r="B142"/>
      <c r="C142"/>
      <c r="D142"/>
      <c r="E142"/>
      <c r="F142"/>
      <c r="G142"/>
      <c r="I142"/>
      <c r="R142" s="480"/>
    </row>
    <row r="143" spans="1:24">
      <c r="A143"/>
      <c r="B143"/>
      <c r="C143"/>
      <c r="D143"/>
      <c r="E143"/>
      <c r="F143"/>
      <c r="G143"/>
      <c r="I143"/>
      <c r="R143" s="480"/>
    </row>
    <row r="144" spans="1:24">
      <c r="A144"/>
      <c r="B144"/>
      <c r="C144"/>
      <c r="D144"/>
      <c r="E144"/>
      <c r="F144"/>
      <c r="G144"/>
      <c r="I144"/>
      <c r="R144" s="480"/>
    </row>
    <row r="145" spans="1:18">
      <c r="A145"/>
      <c r="B145"/>
      <c r="C145"/>
      <c r="D145"/>
      <c r="E145"/>
      <c r="F145"/>
      <c r="G145"/>
      <c r="I145"/>
      <c r="R145" s="480"/>
    </row>
    <row r="146" spans="1:18">
      <c r="A146"/>
      <c r="B146"/>
      <c r="C146"/>
      <c r="D146"/>
      <c r="E146"/>
      <c r="F146"/>
      <c r="G146"/>
      <c r="I146"/>
      <c r="R146" s="480"/>
    </row>
    <row r="147" spans="1:18">
      <c r="A147"/>
      <c r="B147"/>
      <c r="C147"/>
      <c r="D147"/>
      <c r="E147"/>
      <c r="F147"/>
      <c r="G147"/>
      <c r="I147"/>
      <c r="R147" s="480"/>
    </row>
    <row r="148" spans="1:18">
      <c r="A148"/>
      <c r="B148"/>
      <c r="C148"/>
      <c r="D148"/>
      <c r="E148"/>
      <c r="F148"/>
      <c r="G148"/>
      <c r="I148"/>
      <c r="R148" s="480"/>
    </row>
    <row r="149" spans="1:18">
      <c r="A149"/>
      <c r="B149"/>
      <c r="C149"/>
      <c r="D149"/>
      <c r="E149"/>
      <c r="F149"/>
      <c r="G149"/>
      <c r="I149"/>
      <c r="R149" s="480"/>
    </row>
    <row r="150" spans="1:18">
      <c r="A150"/>
      <c r="B150"/>
      <c r="C150"/>
      <c r="D150"/>
      <c r="E150"/>
      <c r="F150"/>
      <c r="G150"/>
      <c r="I150"/>
      <c r="R150" s="480"/>
    </row>
    <row r="151" spans="1:18">
      <c r="A151"/>
      <c r="B151"/>
      <c r="C151"/>
      <c r="D151"/>
      <c r="E151"/>
      <c r="F151"/>
      <c r="G151"/>
      <c r="I151"/>
      <c r="R151" s="480"/>
    </row>
    <row r="152" spans="1:18">
      <c r="A152"/>
      <c r="B152"/>
      <c r="C152"/>
      <c r="D152"/>
      <c r="E152"/>
      <c r="F152"/>
      <c r="G152"/>
      <c r="I152"/>
      <c r="R152" s="480"/>
    </row>
    <row r="153" spans="1:18">
      <c r="A153"/>
      <c r="B153"/>
      <c r="C153"/>
      <c r="D153"/>
      <c r="E153"/>
      <c r="F153"/>
      <c r="G153"/>
      <c r="I153"/>
      <c r="R153" s="480"/>
    </row>
    <row r="154" spans="1:18">
      <c r="A154"/>
      <c r="B154"/>
      <c r="C154"/>
      <c r="D154"/>
      <c r="E154"/>
      <c r="F154"/>
      <c r="G154"/>
      <c r="I154"/>
      <c r="R154" s="480"/>
    </row>
    <row r="155" spans="1:18">
      <c r="A155"/>
      <c r="B155"/>
      <c r="C155"/>
      <c r="D155"/>
      <c r="E155"/>
      <c r="F155"/>
      <c r="G155"/>
      <c r="I155"/>
      <c r="R155" s="480"/>
    </row>
    <row r="156" spans="1:18">
      <c r="A156"/>
      <c r="B156"/>
      <c r="C156"/>
      <c r="D156"/>
      <c r="E156"/>
      <c r="F156"/>
      <c r="G156"/>
      <c r="I156"/>
      <c r="R156" s="480"/>
    </row>
    <row r="157" spans="1:18">
      <c r="A157"/>
      <c r="B157"/>
      <c r="C157"/>
      <c r="D157"/>
      <c r="E157"/>
      <c r="F157"/>
      <c r="G157"/>
      <c r="I157"/>
      <c r="R157" s="480"/>
    </row>
    <row r="158" spans="1:18">
      <c r="A158"/>
      <c r="B158"/>
      <c r="C158"/>
      <c r="D158"/>
      <c r="E158"/>
      <c r="F158"/>
      <c r="G158"/>
      <c r="I158"/>
      <c r="R158" s="480"/>
    </row>
    <row r="159" spans="1:18">
      <c r="A159"/>
      <c r="B159"/>
      <c r="C159"/>
      <c r="D159"/>
      <c r="E159"/>
      <c r="F159"/>
      <c r="G159"/>
      <c r="I159"/>
      <c r="R159" s="480"/>
    </row>
    <row r="160" spans="1:18">
      <c r="A160"/>
      <c r="B160"/>
      <c r="C160"/>
      <c r="D160"/>
      <c r="E160"/>
      <c r="F160"/>
      <c r="G160"/>
      <c r="I160"/>
      <c r="R160" s="480"/>
    </row>
    <row r="161" spans="1:18">
      <c r="A161"/>
      <c r="B161"/>
      <c r="C161"/>
      <c r="D161"/>
      <c r="E161"/>
      <c r="F161"/>
      <c r="G161"/>
      <c r="I161"/>
      <c r="R161" s="480"/>
    </row>
    <row r="162" spans="1:18">
      <c r="A162"/>
      <c r="B162"/>
      <c r="C162"/>
      <c r="D162"/>
      <c r="E162"/>
      <c r="F162"/>
      <c r="G162"/>
      <c r="I162"/>
      <c r="R162" s="480"/>
    </row>
    <row r="163" spans="1:18">
      <c r="A163"/>
      <c r="B163"/>
      <c r="C163"/>
      <c r="D163"/>
      <c r="E163"/>
      <c r="F163"/>
      <c r="G163"/>
      <c r="I163"/>
      <c r="R163" s="480"/>
    </row>
    <row r="164" spans="1:18">
      <c r="A164"/>
      <c r="B164"/>
      <c r="C164"/>
      <c r="D164"/>
      <c r="E164"/>
      <c r="F164"/>
      <c r="G164"/>
      <c r="I164"/>
      <c r="R164" s="480"/>
    </row>
    <row r="165" spans="1:18">
      <c r="A165"/>
      <c r="B165"/>
      <c r="C165"/>
      <c r="D165"/>
      <c r="E165"/>
      <c r="F165"/>
      <c r="G165"/>
      <c r="I165"/>
      <c r="R165" s="480"/>
    </row>
    <row r="166" spans="1:18">
      <c r="A166"/>
      <c r="B166"/>
      <c r="C166"/>
      <c r="D166"/>
      <c r="E166"/>
      <c r="F166"/>
      <c r="G166"/>
      <c r="I166"/>
      <c r="R166" s="480"/>
    </row>
    <row r="167" spans="1:18">
      <c r="A167"/>
      <c r="B167"/>
      <c r="C167"/>
      <c r="D167"/>
      <c r="E167"/>
      <c r="F167"/>
      <c r="G167"/>
      <c r="I167"/>
      <c r="R167" s="480"/>
    </row>
    <row r="168" spans="1:18">
      <c r="A168"/>
      <c r="B168"/>
      <c r="C168"/>
      <c r="D168"/>
      <c r="E168"/>
      <c r="F168"/>
      <c r="G168"/>
      <c r="I168"/>
      <c r="R168" s="480"/>
    </row>
    <row r="169" spans="1:18">
      <c r="A169"/>
      <c r="B169"/>
      <c r="C169"/>
      <c r="D169"/>
      <c r="E169"/>
      <c r="F169"/>
      <c r="G169"/>
      <c r="I169"/>
      <c r="R169" s="480"/>
    </row>
    <row r="170" spans="1:18">
      <c r="A170"/>
      <c r="B170"/>
      <c r="C170"/>
      <c r="D170"/>
      <c r="E170"/>
      <c r="F170"/>
      <c r="G170"/>
      <c r="I170"/>
      <c r="R170" s="480"/>
    </row>
    <row r="171" spans="1:18">
      <c r="A171"/>
      <c r="B171"/>
      <c r="C171"/>
      <c r="D171"/>
      <c r="E171"/>
      <c r="F171"/>
      <c r="G171"/>
      <c r="I171"/>
    </row>
    <row r="172" spans="1:18">
      <c r="A172"/>
      <c r="B172"/>
      <c r="C172"/>
      <c r="D172"/>
      <c r="E172"/>
      <c r="F172"/>
      <c r="G172"/>
      <c r="I172"/>
    </row>
    <row r="173" spans="1:18">
      <c r="A173"/>
      <c r="B173"/>
      <c r="C173"/>
      <c r="D173"/>
      <c r="E173"/>
      <c r="F173"/>
      <c r="G173"/>
      <c r="I173"/>
    </row>
    <row r="174" spans="1:18">
      <c r="A174"/>
      <c r="B174"/>
      <c r="C174"/>
      <c r="D174"/>
      <c r="E174"/>
      <c r="F174"/>
      <c r="G174"/>
      <c r="I174"/>
    </row>
    <row r="175" spans="1:18">
      <c r="A175"/>
      <c r="B175"/>
      <c r="C175"/>
      <c r="D175"/>
      <c r="E175"/>
      <c r="F175"/>
      <c r="G175"/>
      <c r="I175"/>
    </row>
    <row r="176" spans="1:18">
      <c r="A176"/>
      <c r="B176"/>
      <c r="C176"/>
      <c r="D176"/>
      <c r="E176"/>
      <c r="F176"/>
      <c r="G176"/>
      <c r="H176"/>
      <c r="I176"/>
    </row>
    <row r="177" spans="1:9">
      <c r="A177"/>
      <c r="B177"/>
      <c r="C177"/>
      <c r="D177"/>
      <c r="E177"/>
      <c r="F177"/>
      <c r="G177"/>
      <c r="H177"/>
      <c r="I177"/>
    </row>
    <row r="178" spans="1:9">
      <c r="A178"/>
      <c r="B178"/>
      <c r="C178"/>
      <c r="D178"/>
      <c r="E178"/>
      <c r="F178"/>
      <c r="G178"/>
      <c r="H178"/>
      <c r="I178"/>
    </row>
    <row r="179" spans="1:9">
      <c r="A179"/>
      <c r="B179"/>
      <c r="C179"/>
      <c r="D179"/>
      <c r="E179"/>
      <c r="F179"/>
      <c r="G179"/>
      <c r="H179"/>
      <c r="I179"/>
    </row>
    <row r="180" spans="1:9">
      <c r="A180"/>
      <c r="B180"/>
      <c r="C180"/>
      <c r="D180"/>
      <c r="E180"/>
      <c r="F180"/>
      <c r="G180"/>
      <c r="H180"/>
      <c r="I180"/>
    </row>
    <row r="181" spans="1:9">
      <c r="A181"/>
      <c r="B181"/>
      <c r="C181"/>
      <c r="D181"/>
      <c r="E181"/>
      <c r="F181"/>
      <c r="G181"/>
      <c r="H181"/>
      <c r="I181"/>
    </row>
    <row r="182" spans="1:9">
      <c r="A182"/>
      <c r="B182"/>
      <c r="C182"/>
      <c r="D182"/>
      <c r="E182"/>
      <c r="F182"/>
      <c r="G182"/>
      <c r="H182"/>
      <c r="I182"/>
    </row>
    <row r="183" spans="1:9">
      <c r="A183"/>
      <c r="B183"/>
      <c r="C183"/>
      <c r="D183"/>
      <c r="E183"/>
      <c r="F183"/>
      <c r="G183"/>
      <c r="H183"/>
      <c r="I183"/>
    </row>
    <row r="184" spans="1:9">
      <c r="A184"/>
      <c r="B184"/>
      <c r="C184"/>
      <c r="D184"/>
      <c r="E184"/>
      <c r="F184"/>
      <c r="G184"/>
      <c r="H184"/>
      <c r="I184"/>
    </row>
    <row r="185" spans="1:9">
      <c r="A185"/>
      <c r="B185"/>
      <c r="C185"/>
      <c r="D185"/>
      <c r="E185"/>
      <c r="F185"/>
      <c r="G185"/>
      <c r="H185"/>
      <c r="I185"/>
    </row>
    <row r="186" spans="1:9">
      <c r="A186"/>
      <c r="B186"/>
      <c r="C186"/>
      <c r="D186"/>
      <c r="E186"/>
      <c r="F186"/>
      <c r="G186"/>
      <c r="H186"/>
      <c r="I186"/>
    </row>
    <row r="187" spans="1:9">
      <c r="A187"/>
      <c r="B187"/>
      <c r="C187"/>
      <c r="D187"/>
      <c r="E187"/>
      <c r="F187"/>
      <c r="G187"/>
      <c r="H187"/>
      <c r="I187"/>
    </row>
    <row r="188" spans="1:9">
      <c r="A188"/>
      <c r="B188"/>
      <c r="C188"/>
      <c r="D188"/>
      <c r="E188"/>
      <c r="F188"/>
      <c r="G188"/>
      <c r="H188"/>
      <c r="I188"/>
    </row>
    <row r="189" spans="1:9">
      <c r="A189"/>
      <c r="B189"/>
      <c r="C189"/>
      <c r="D189"/>
      <c r="E189"/>
      <c r="F189"/>
      <c r="G189"/>
      <c r="H189"/>
      <c r="I189"/>
    </row>
    <row r="190" spans="1:9">
      <c r="A190"/>
      <c r="B190"/>
      <c r="C190"/>
      <c r="D190"/>
      <c r="E190"/>
      <c r="F190"/>
      <c r="G190"/>
      <c r="H190"/>
      <c r="I190"/>
    </row>
    <row r="191" spans="1:9">
      <c r="A191"/>
      <c r="B191"/>
      <c r="C191"/>
      <c r="D191"/>
      <c r="E191"/>
      <c r="F191"/>
      <c r="G191"/>
      <c r="H191"/>
      <c r="I191"/>
    </row>
    <row r="192" spans="1:9">
      <c r="A192"/>
      <c r="B192"/>
      <c r="C192"/>
      <c r="D192"/>
      <c r="E192"/>
      <c r="F192"/>
      <c r="G192"/>
      <c r="H192"/>
      <c r="I192"/>
    </row>
    <row r="193" spans="1:9">
      <c r="A193"/>
      <c r="B193"/>
      <c r="C193"/>
      <c r="D193"/>
      <c r="E193"/>
      <c r="F193"/>
      <c r="G193"/>
      <c r="H193"/>
      <c r="I193"/>
    </row>
    <row r="194" spans="1:9">
      <c r="A194"/>
      <c r="B194"/>
      <c r="C194"/>
      <c r="D194"/>
      <c r="E194"/>
      <c r="F194"/>
      <c r="G194"/>
      <c r="H194"/>
      <c r="I194"/>
    </row>
    <row r="195" spans="1:9">
      <c r="A195"/>
      <c r="B195"/>
      <c r="C195"/>
      <c r="D195"/>
      <c r="E195"/>
      <c r="F195"/>
      <c r="G195"/>
      <c r="H195"/>
      <c r="I195"/>
    </row>
    <row r="196" spans="1:9">
      <c r="A196"/>
      <c r="B196"/>
      <c r="C196"/>
      <c r="D196"/>
      <c r="E196"/>
      <c r="F196"/>
      <c r="G196"/>
      <c r="H196"/>
      <c r="I196"/>
    </row>
    <row r="197" spans="1:9">
      <c r="A197"/>
      <c r="B197"/>
      <c r="C197"/>
      <c r="D197"/>
      <c r="E197"/>
      <c r="F197"/>
      <c r="G197"/>
      <c r="H197"/>
      <c r="I197"/>
    </row>
    <row r="198" spans="1:9">
      <c r="A198"/>
      <c r="B198"/>
      <c r="C198"/>
      <c r="D198"/>
      <c r="E198"/>
      <c r="F198"/>
      <c r="G198"/>
      <c r="H198"/>
      <c r="I198"/>
    </row>
    <row r="199" spans="1:9">
      <c r="A199"/>
      <c r="B199"/>
      <c r="C199"/>
      <c r="D199"/>
      <c r="E199"/>
      <c r="F199"/>
      <c r="G199"/>
      <c r="H199"/>
      <c r="I199"/>
    </row>
    <row r="200" spans="1:9">
      <c r="A200"/>
      <c r="B200"/>
      <c r="C200"/>
      <c r="D200"/>
      <c r="E200"/>
      <c r="F200"/>
      <c r="G200"/>
      <c r="H200"/>
      <c r="I200"/>
    </row>
    <row r="201" spans="1:9">
      <c r="A201"/>
      <c r="B201"/>
      <c r="C201"/>
      <c r="D201"/>
      <c r="E201"/>
      <c r="F201"/>
      <c r="G201"/>
      <c r="H201"/>
      <c r="I201"/>
    </row>
    <row r="202" spans="1:9">
      <c r="A202"/>
      <c r="B202"/>
      <c r="C202"/>
      <c r="D202"/>
      <c r="E202"/>
      <c r="F202"/>
      <c r="G202"/>
      <c r="H202"/>
      <c r="I202"/>
    </row>
    <row r="203" spans="1:9">
      <c r="A203"/>
      <c r="B203"/>
      <c r="C203"/>
      <c r="D203"/>
      <c r="E203"/>
      <c r="F203"/>
      <c r="G203"/>
      <c r="H203"/>
      <c r="I203"/>
    </row>
    <row r="204" spans="1:9">
      <c r="A204"/>
      <c r="B204"/>
      <c r="C204"/>
      <c r="D204"/>
      <c r="E204"/>
      <c r="F204"/>
      <c r="G204"/>
      <c r="H204"/>
      <c r="I204"/>
    </row>
    <row r="205" spans="1:9">
      <c r="A205"/>
      <c r="B205"/>
      <c r="C205"/>
      <c r="D205"/>
      <c r="E205"/>
      <c r="F205"/>
      <c r="G205"/>
      <c r="H205"/>
      <c r="I205"/>
    </row>
    <row r="206" spans="1:9">
      <c r="A206"/>
      <c r="B206"/>
      <c r="C206"/>
      <c r="D206"/>
      <c r="E206"/>
      <c r="F206"/>
      <c r="G206"/>
      <c r="H206"/>
      <c r="I206"/>
    </row>
    <row r="207" spans="1:9">
      <c r="A207"/>
      <c r="B207"/>
      <c r="C207"/>
      <c r="D207"/>
      <c r="E207"/>
      <c r="F207"/>
      <c r="G207"/>
      <c r="H207"/>
      <c r="I207"/>
    </row>
    <row r="208" spans="1:9">
      <c r="A208"/>
      <c r="B208"/>
      <c r="C208"/>
      <c r="D208"/>
      <c r="E208"/>
      <c r="F208"/>
      <c r="G208"/>
      <c r="H208"/>
      <c r="I208"/>
    </row>
    <row r="209" spans="1:9">
      <c r="A209"/>
      <c r="B209"/>
      <c r="C209"/>
      <c r="D209"/>
      <c r="E209"/>
      <c r="F209"/>
      <c r="G209"/>
      <c r="H209"/>
      <c r="I209"/>
    </row>
    <row r="210" spans="1:9">
      <c r="A210"/>
      <c r="B210"/>
      <c r="C210"/>
      <c r="D210"/>
      <c r="E210"/>
      <c r="F210"/>
      <c r="G210"/>
      <c r="H210"/>
      <c r="I210"/>
    </row>
    <row r="211" spans="1:9">
      <c r="A211"/>
      <c r="B211"/>
      <c r="C211"/>
      <c r="D211"/>
      <c r="E211"/>
      <c r="F211"/>
      <c r="G211"/>
      <c r="H211"/>
      <c r="I211"/>
    </row>
    <row r="212" spans="1:9">
      <c r="A212"/>
      <c r="B212"/>
      <c r="C212"/>
      <c r="D212"/>
      <c r="E212"/>
      <c r="F212"/>
      <c r="G212"/>
      <c r="H212"/>
      <c r="I212"/>
    </row>
    <row r="213" spans="1:9">
      <c r="A213"/>
      <c r="B213"/>
      <c r="C213"/>
      <c r="D213"/>
      <c r="E213"/>
      <c r="F213"/>
      <c r="G213"/>
      <c r="H213"/>
      <c r="I213"/>
    </row>
    <row r="214" spans="1:9">
      <c r="A214"/>
      <c r="B214"/>
      <c r="C214"/>
      <c r="D214"/>
      <c r="E214"/>
      <c r="F214"/>
      <c r="G214"/>
      <c r="H214"/>
      <c r="I214"/>
    </row>
    <row r="215" spans="1:9">
      <c r="A215"/>
      <c r="B215"/>
      <c r="C215"/>
      <c r="D215"/>
      <c r="E215"/>
      <c r="F215"/>
      <c r="G215"/>
      <c r="H215"/>
      <c r="I215"/>
    </row>
    <row r="216" spans="1:9">
      <c r="A216"/>
      <c r="B216"/>
      <c r="C216"/>
      <c r="D216"/>
      <c r="E216"/>
      <c r="F216"/>
      <c r="G216"/>
      <c r="H216"/>
      <c r="I216"/>
    </row>
    <row r="217" spans="1:9">
      <c r="A217"/>
      <c r="B217"/>
      <c r="C217"/>
      <c r="D217"/>
      <c r="E217"/>
      <c r="F217"/>
      <c r="G217"/>
      <c r="H217"/>
      <c r="I217"/>
    </row>
    <row r="218" spans="1:9">
      <c r="A218"/>
      <c r="B218"/>
      <c r="C218"/>
      <c r="D218"/>
      <c r="E218"/>
      <c r="F218"/>
      <c r="G218"/>
      <c r="H218"/>
      <c r="I218"/>
    </row>
    <row r="219" spans="1:9">
      <c r="A219"/>
      <c r="B219"/>
      <c r="C219"/>
      <c r="D219"/>
      <c r="E219"/>
      <c r="F219"/>
      <c r="G219"/>
      <c r="H219"/>
      <c r="I219"/>
    </row>
    <row r="220" spans="1:9">
      <c r="A220"/>
      <c r="B220"/>
      <c r="C220"/>
      <c r="D220"/>
      <c r="E220"/>
      <c r="F220"/>
      <c r="G220"/>
      <c r="H220"/>
      <c r="I220"/>
    </row>
    <row r="221" spans="1:9">
      <c r="A221"/>
      <c r="B221"/>
      <c r="C221"/>
      <c r="D221"/>
      <c r="E221"/>
      <c r="F221"/>
      <c r="G221"/>
      <c r="H221"/>
      <c r="I221"/>
    </row>
    <row r="222" spans="1:9">
      <c r="A222"/>
      <c r="B222"/>
      <c r="C222"/>
      <c r="D222"/>
      <c r="E222"/>
      <c r="F222"/>
      <c r="G222"/>
      <c r="H222"/>
      <c r="I222"/>
    </row>
    <row r="223" spans="1:9">
      <c r="A223"/>
      <c r="B223"/>
      <c r="C223"/>
      <c r="D223"/>
      <c r="E223"/>
      <c r="F223"/>
      <c r="G223"/>
      <c r="H223"/>
      <c r="I223"/>
    </row>
    <row r="224" spans="1:9">
      <c r="A224"/>
      <c r="B224"/>
      <c r="C224"/>
      <c r="D224"/>
      <c r="E224"/>
      <c r="F224"/>
      <c r="G224"/>
      <c r="H224"/>
      <c r="I224"/>
    </row>
    <row r="225" spans="1:9">
      <c r="A225"/>
      <c r="B225"/>
      <c r="C225"/>
      <c r="D225"/>
      <c r="E225"/>
      <c r="F225"/>
      <c r="G225"/>
      <c r="H225"/>
      <c r="I225"/>
    </row>
    <row r="226" spans="1:9">
      <c r="A226"/>
      <c r="B226"/>
      <c r="C226"/>
      <c r="D226"/>
      <c r="E226"/>
      <c r="F226"/>
      <c r="G226"/>
      <c r="H226"/>
      <c r="I226"/>
    </row>
    <row r="227" spans="1:9">
      <c r="A227"/>
      <c r="B227"/>
      <c r="C227"/>
      <c r="D227"/>
      <c r="E227"/>
      <c r="F227"/>
      <c r="G227"/>
      <c r="H227"/>
      <c r="I227"/>
    </row>
    <row r="228" spans="1:9">
      <c r="A228"/>
      <c r="B228"/>
      <c r="C228"/>
      <c r="D228"/>
      <c r="E228"/>
      <c r="F228"/>
      <c r="G228"/>
      <c r="H228"/>
      <c r="I228"/>
    </row>
    <row r="229" spans="1:9">
      <c r="A229"/>
      <c r="B229"/>
      <c r="C229"/>
      <c r="D229"/>
      <c r="E229"/>
      <c r="F229"/>
      <c r="G229"/>
      <c r="H229"/>
      <c r="I229"/>
    </row>
    <row r="230" spans="1:9">
      <c r="A230"/>
      <c r="B230"/>
      <c r="C230"/>
      <c r="D230"/>
      <c r="E230"/>
      <c r="F230"/>
      <c r="G230"/>
      <c r="H230"/>
      <c r="I230"/>
    </row>
    <row r="231" spans="1:9">
      <c r="A231"/>
      <c r="B231"/>
      <c r="C231"/>
      <c r="D231"/>
      <c r="E231"/>
      <c r="F231"/>
      <c r="G231"/>
      <c r="H231"/>
      <c r="I231"/>
    </row>
    <row r="232" spans="1:9">
      <c r="A232"/>
      <c r="B232"/>
      <c r="C232"/>
      <c r="D232"/>
      <c r="E232"/>
      <c r="F232"/>
      <c r="G232"/>
      <c r="H232"/>
      <c r="I232"/>
    </row>
    <row r="233" spans="1:9">
      <c r="A233"/>
      <c r="B233"/>
      <c r="C233"/>
      <c r="D233"/>
      <c r="E233"/>
      <c r="F233"/>
      <c r="G233"/>
      <c r="H233"/>
      <c r="I233"/>
    </row>
    <row r="234" spans="1:9">
      <c r="A234"/>
      <c r="B234"/>
      <c r="C234"/>
      <c r="D234"/>
      <c r="E234"/>
      <c r="F234"/>
      <c r="G234"/>
      <c r="H234"/>
      <c r="I234"/>
    </row>
    <row r="235" spans="1:9">
      <c r="A235"/>
      <c r="B235"/>
      <c r="C235"/>
      <c r="D235"/>
      <c r="E235"/>
      <c r="F235"/>
      <c r="G235"/>
      <c r="H235"/>
      <c r="I235"/>
    </row>
    <row r="236" spans="1:9">
      <c r="A236"/>
      <c r="B236"/>
      <c r="C236"/>
      <c r="D236"/>
      <c r="E236"/>
      <c r="F236"/>
      <c r="G236"/>
      <c r="H236"/>
      <c r="I236"/>
    </row>
    <row r="237" spans="1:9">
      <c r="A237"/>
      <c r="B237"/>
      <c r="C237"/>
      <c r="D237"/>
      <c r="E237"/>
      <c r="F237"/>
      <c r="G237"/>
      <c r="H237"/>
      <c r="I237"/>
    </row>
    <row r="238" spans="1:9">
      <c r="A238"/>
      <c r="B238"/>
      <c r="C238"/>
      <c r="D238"/>
      <c r="E238"/>
      <c r="F238"/>
      <c r="G238"/>
      <c r="H238"/>
      <c r="I238"/>
    </row>
    <row r="239" spans="1:9">
      <c r="A239"/>
      <c r="B239"/>
      <c r="C239"/>
      <c r="D239"/>
      <c r="E239"/>
      <c r="F239"/>
      <c r="G239"/>
      <c r="H239"/>
      <c r="I239"/>
    </row>
    <row r="240" spans="1:9">
      <c r="A240"/>
      <c r="B240"/>
      <c r="C240"/>
      <c r="D240"/>
      <c r="E240"/>
      <c r="F240"/>
      <c r="G240"/>
      <c r="H240"/>
      <c r="I240"/>
    </row>
    <row r="241" spans="1:9">
      <c r="A241"/>
      <c r="B241"/>
      <c r="C241"/>
      <c r="D241"/>
      <c r="E241"/>
      <c r="F241"/>
      <c r="G241"/>
      <c r="H241"/>
      <c r="I241"/>
    </row>
    <row r="242" spans="1:9">
      <c r="A242"/>
      <c r="B242"/>
      <c r="C242"/>
      <c r="D242"/>
      <c r="E242"/>
      <c r="F242"/>
      <c r="G242"/>
      <c r="H242"/>
      <c r="I242"/>
    </row>
    <row r="243" spans="1:9">
      <c r="A243"/>
      <c r="B243"/>
      <c r="C243"/>
      <c r="D243"/>
      <c r="E243"/>
      <c r="F243"/>
      <c r="G243"/>
      <c r="H243"/>
      <c r="I243"/>
    </row>
    <row r="244" spans="1:9">
      <c r="A244"/>
      <c r="B244"/>
      <c r="C244"/>
      <c r="D244"/>
      <c r="E244"/>
      <c r="F244"/>
      <c r="G244"/>
      <c r="H244"/>
      <c r="I244"/>
    </row>
    <row r="245" spans="1:9">
      <c r="A245"/>
      <c r="B245"/>
      <c r="C245"/>
      <c r="D245"/>
      <c r="E245"/>
      <c r="F245"/>
      <c r="G245"/>
      <c r="H245"/>
      <c r="I245"/>
    </row>
    <row r="246" spans="1:9">
      <c r="A246"/>
      <c r="B246"/>
      <c r="C246"/>
      <c r="D246"/>
      <c r="E246"/>
      <c r="F246"/>
      <c r="G246"/>
      <c r="H246"/>
      <c r="I246"/>
    </row>
    <row r="247" spans="1:9">
      <c r="A247"/>
      <c r="B247"/>
      <c r="C247"/>
      <c r="D247"/>
      <c r="E247"/>
      <c r="F247"/>
      <c r="G247"/>
      <c r="H247"/>
      <c r="I247"/>
    </row>
    <row r="248" spans="1:9">
      <c r="A248"/>
      <c r="B248"/>
      <c r="C248"/>
      <c r="D248"/>
      <c r="E248"/>
      <c r="F248"/>
      <c r="G248"/>
      <c r="H248"/>
      <c r="I248"/>
    </row>
    <row r="249" spans="1:9">
      <c r="A249"/>
      <c r="B249"/>
      <c r="C249"/>
      <c r="D249"/>
      <c r="E249"/>
      <c r="F249"/>
      <c r="G249"/>
      <c r="H249"/>
      <c r="I249"/>
    </row>
    <row r="250" spans="1:9">
      <c r="A250"/>
      <c r="B250"/>
      <c r="C250"/>
      <c r="D250"/>
      <c r="E250"/>
      <c r="F250"/>
      <c r="G250"/>
      <c r="H250"/>
      <c r="I250"/>
    </row>
    <row r="251" spans="1:9">
      <c r="A251"/>
      <c r="B251"/>
      <c r="C251"/>
      <c r="D251"/>
      <c r="E251"/>
      <c r="F251"/>
      <c r="G251"/>
      <c r="H251"/>
      <c r="I251"/>
    </row>
    <row r="252" spans="1:9">
      <c r="A252"/>
      <c r="B252"/>
      <c r="C252"/>
      <c r="D252"/>
      <c r="E252"/>
      <c r="F252"/>
      <c r="G252"/>
      <c r="H252"/>
      <c r="I252"/>
    </row>
    <row r="253" spans="1:9">
      <c r="A253"/>
      <c r="B253"/>
      <c r="C253"/>
      <c r="D253"/>
      <c r="E253"/>
      <c r="F253"/>
      <c r="G253"/>
      <c r="H253"/>
      <c r="I253"/>
    </row>
    <row r="254" spans="1:9">
      <c r="A254"/>
      <c r="B254"/>
      <c r="C254"/>
      <c r="D254"/>
      <c r="E254"/>
      <c r="F254"/>
      <c r="G254"/>
      <c r="H254"/>
      <c r="I254"/>
    </row>
    <row r="255" spans="1:9">
      <c r="A255"/>
      <c r="B255"/>
      <c r="C255"/>
      <c r="D255"/>
      <c r="E255"/>
      <c r="F255"/>
      <c r="G255"/>
      <c r="H255"/>
      <c r="I255"/>
    </row>
    <row r="256" spans="1:9">
      <c r="A256"/>
      <c r="B256"/>
      <c r="C256"/>
      <c r="D256"/>
      <c r="E256"/>
      <c r="F256"/>
      <c r="G256"/>
      <c r="H256"/>
      <c r="I256"/>
    </row>
    <row r="257" spans="1:9">
      <c r="A257"/>
      <c r="B257"/>
      <c r="C257"/>
      <c r="D257"/>
      <c r="E257"/>
      <c r="F257"/>
      <c r="G257"/>
      <c r="H257"/>
      <c r="I257"/>
    </row>
    <row r="258" spans="1:9">
      <c r="A258"/>
      <c r="B258"/>
      <c r="C258"/>
      <c r="D258"/>
      <c r="E258"/>
      <c r="F258"/>
      <c r="G258"/>
      <c r="H258"/>
      <c r="I258"/>
    </row>
    <row r="259" spans="1:9">
      <c r="A259"/>
      <c r="B259"/>
      <c r="C259"/>
      <c r="D259"/>
      <c r="E259"/>
      <c r="F259"/>
      <c r="G259"/>
      <c r="H259"/>
      <c r="I259"/>
    </row>
    <row r="260" spans="1:9">
      <c r="A260"/>
      <c r="B260"/>
      <c r="C260"/>
      <c r="D260"/>
      <c r="E260"/>
      <c r="F260"/>
      <c r="G260"/>
      <c r="H260"/>
      <c r="I260"/>
    </row>
    <row r="261" spans="1:9">
      <c r="A261"/>
      <c r="B261"/>
      <c r="C261"/>
      <c r="D261"/>
      <c r="E261"/>
      <c r="F261"/>
      <c r="G261"/>
      <c r="H261"/>
      <c r="I261"/>
    </row>
    <row r="262" spans="1:9">
      <c r="A262"/>
      <c r="B262"/>
      <c r="C262"/>
      <c r="D262"/>
      <c r="E262"/>
      <c r="F262"/>
      <c r="G262"/>
      <c r="H262"/>
      <c r="I262"/>
    </row>
    <row r="263" spans="1:9">
      <c r="A263"/>
      <c r="B263"/>
      <c r="C263"/>
      <c r="D263"/>
      <c r="E263"/>
      <c r="F263"/>
      <c r="G263"/>
      <c r="H263"/>
      <c r="I263"/>
    </row>
    <row r="264" spans="1:9">
      <c r="A264"/>
      <c r="B264"/>
      <c r="C264"/>
      <c r="D264"/>
      <c r="E264"/>
      <c r="F264"/>
      <c r="G264"/>
      <c r="H264"/>
      <c r="I264"/>
    </row>
    <row r="265" spans="1:9">
      <c r="A265"/>
      <c r="B265"/>
      <c r="C265"/>
      <c r="D265"/>
      <c r="E265"/>
      <c r="F265"/>
      <c r="G265"/>
      <c r="H265"/>
      <c r="I265"/>
    </row>
    <row r="266" spans="1:9">
      <c r="A266"/>
      <c r="B266"/>
      <c r="C266"/>
      <c r="D266"/>
      <c r="E266"/>
      <c r="F266"/>
      <c r="G266"/>
      <c r="H266"/>
      <c r="I266"/>
    </row>
    <row r="267" spans="1:9">
      <c r="A267"/>
      <c r="B267"/>
      <c r="C267"/>
      <c r="D267"/>
      <c r="E267"/>
      <c r="F267"/>
      <c r="G267"/>
      <c r="H267"/>
      <c r="I267"/>
    </row>
    <row r="268" spans="1:9">
      <c r="A268"/>
      <c r="B268"/>
      <c r="C268"/>
      <c r="D268"/>
      <c r="E268"/>
      <c r="F268"/>
      <c r="G268"/>
      <c r="H268"/>
      <c r="I268"/>
    </row>
    <row r="269" spans="1:9">
      <c r="A269"/>
      <c r="B269"/>
      <c r="C269"/>
      <c r="D269"/>
      <c r="E269"/>
      <c r="F269"/>
      <c r="G269"/>
      <c r="H269"/>
      <c r="I269"/>
    </row>
    <row r="270" spans="1:9">
      <c r="A270"/>
      <c r="B270"/>
      <c r="C270"/>
      <c r="D270"/>
      <c r="E270"/>
      <c r="F270"/>
      <c r="G270"/>
      <c r="H270"/>
      <c r="I270"/>
    </row>
    <row r="271" spans="1:9">
      <c r="A271"/>
      <c r="B271"/>
      <c r="C271"/>
      <c r="D271"/>
      <c r="E271"/>
      <c r="F271"/>
      <c r="G271"/>
      <c r="H271"/>
      <c r="I271"/>
    </row>
    <row r="272" spans="1:9">
      <c r="A272"/>
      <c r="B272"/>
      <c r="C272"/>
      <c r="D272"/>
      <c r="E272"/>
      <c r="F272"/>
      <c r="G272"/>
      <c r="H272"/>
      <c r="I272"/>
    </row>
    <row r="273" spans="1:9">
      <c r="A273"/>
      <c r="B273"/>
      <c r="C273"/>
      <c r="D273"/>
      <c r="E273"/>
      <c r="F273"/>
      <c r="G273"/>
      <c r="H273"/>
      <c r="I273"/>
    </row>
    <row r="274" spans="1:9">
      <c r="A274"/>
      <c r="B274"/>
      <c r="C274"/>
      <c r="D274"/>
      <c r="E274"/>
      <c r="F274"/>
      <c r="G274"/>
      <c r="H274"/>
      <c r="I274"/>
    </row>
    <row r="275" spans="1:9">
      <c r="A275"/>
      <c r="B275"/>
      <c r="C275"/>
      <c r="D275"/>
      <c r="E275"/>
      <c r="F275"/>
      <c r="G275"/>
      <c r="H275"/>
      <c r="I275"/>
    </row>
    <row r="276" spans="1:9">
      <c r="A276"/>
      <c r="B276"/>
      <c r="C276"/>
      <c r="D276"/>
      <c r="E276"/>
      <c r="F276"/>
      <c r="G276"/>
      <c r="H276"/>
      <c r="I276"/>
    </row>
    <row r="277" spans="1:9">
      <c r="A277"/>
      <c r="B277"/>
      <c r="C277"/>
      <c r="D277"/>
      <c r="E277"/>
      <c r="F277"/>
      <c r="G277"/>
      <c r="H277"/>
      <c r="I277"/>
    </row>
    <row r="278" spans="1:9">
      <c r="A278"/>
      <c r="B278"/>
      <c r="C278"/>
      <c r="D278"/>
      <c r="E278"/>
      <c r="F278"/>
      <c r="G278"/>
      <c r="H278"/>
      <c r="I278"/>
    </row>
    <row r="279" spans="1:9">
      <c r="A279"/>
      <c r="B279"/>
      <c r="C279"/>
      <c r="D279"/>
      <c r="E279"/>
      <c r="F279"/>
      <c r="G279"/>
      <c r="H279"/>
      <c r="I279"/>
    </row>
    <row r="280" spans="1:9">
      <c r="A280"/>
      <c r="B280"/>
      <c r="C280"/>
      <c r="D280"/>
      <c r="E280"/>
      <c r="F280"/>
      <c r="G280"/>
      <c r="H280"/>
      <c r="I280"/>
    </row>
    <row r="281" spans="1:9">
      <c r="A281"/>
      <c r="B281"/>
      <c r="C281"/>
      <c r="D281"/>
      <c r="E281"/>
      <c r="F281"/>
      <c r="G281"/>
      <c r="H281"/>
      <c r="I281"/>
    </row>
    <row r="282" spans="1:9">
      <c r="A282"/>
      <c r="B282"/>
      <c r="C282"/>
      <c r="D282"/>
      <c r="E282"/>
      <c r="F282"/>
      <c r="G282"/>
      <c r="H282"/>
      <c r="I282"/>
    </row>
    <row r="283" spans="1:9">
      <c r="A283"/>
      <c r="B283"/>
      <c r="C283"/>
      <c r="D283"/>
      <c r="E283"/>
      <c r="F283"/>
      <c r="G283"/>
      <c r="H283"/>
      <c r="I283"/>
    </row>
    <row r="284" spans="1:9">
      <c r="A284"/>
      <c r="B284"/>
      <c r="C284"/>
      <c r="D284"/>
      <c r="E284"/>
      <c r="F284"/>
      <c r="G284"/>
      <c r="H284"/>
      <c r="I284"/>
    </row>
    <row r="285" spans="1:9">
      <c r="A285"/>
      <c r="B285"/>
      <c r="C285"/>
      <c r="D285"/>
      <c r="E285"/>
      <c r="F285"/>
      <c r="G285"/>
      <c r="H285"/>
      <c r="I285"/>
    </row>
    <row r="286" spans="1:9">
      <c r="A286"/>
      <c r="B286"/>
      <c r="C286"/>
      <c r="D286"/>
      <c r="E286"/>
      <c r="F286"/>
      <c r="G286"/>
      <c r="H286"/>
      <c r="I286"/>
    </row>
    <row r="287" spans="1:9">
      <c r="A287"/>
      <c r="B287"/>
      <c r="C287"/>
      <c r="D287"/>
      <c r="E287"/>
      <c r="F287"/>
      <c r="G287"/>
      <c r="H287"/>
      <c r="I287"/>
    </row>
    <row r="288" spans="1:9">
      <c r="A288"/>
      <c r="B288"/>
      <c r="C288"/>
      <c r="D288"/>
      <c r="E288"/>
      <c r="F288"/>
      <c r="G288"/>
      <c r="H288"/>
      <c r="I288"/>
    </row>
    <row r="289" spans="1:9">
      <c r="A289"/>
      <c r="B289"/>
      <c r="C289"/>
      <c r="D289"/>
      <c r="E289"/>
      <c r="F289"/>
      <c r="G289"/>
      <c r="H289"/>
      <c r="I289"/>
    </row>
    <row r="290" spans="1:9">
      <c r="A290"/>
      <c r="B290"/>
      <c r="C290"/>
      <c r="D290"/>
      <c r="E290"/>
      <c r="F290"/>
      <c r="G290"/>
      <c r="H290"/>
      <c r="I290"/>
    </row>
    <row r="291" spans="1:9">
      <c r="A291"/>
      <c r="B291"/>
      <c r="C291"/>
      <c r="D291"/>
      <c r="E291"/>
      <c r="F291"/>
      <c r="G291"/>
      <c r="H291"/>
      <c r="I291"/>
    </row>
    <row r="292" spans="1:9">
      <c r="A292"/>
      <c r="B292"/>
      <c r="C292"/>
      <c r="D292"/>
      <c r="E292"/>
      <c r="F292"/>
      <c r="G292"/>
      <c r="H292"/>
      <c r="I292"/>
    </row>
    <row r="293" spans="1:9">
      <c r="A293"/>
      <c r="B293"/>
      <c r="C293"/>
      <c r="D293"/>
      <c r="E293"/>
      <c r="F293"/>
      <c r="G293"/>
      <c r="H293"/>
      <c r="I293"/>
    </row>
    <row r="294" spans="1:9">
      <c r="A294"/>
      <c r="B294"/>
      <c r="C294"/>
      <c r="D294"/>
      <c r="E294"/>
      <c r="F294"/>
      <c r="G294"/>
      <c r="H294"/>
      <c r="I294"/>
    </row>
    <row r="295" spans="1:9">
      <c r="A295"/>
      <c r="B295"/>
      <c r="C295"/>
      <c r="D295"/>
      <c r="E295"/>
      <c r="F295"/>
      <c r="G295"/>
      <c r="H295"/>
      <c r="I295"/>
    </row>
    <row r="296" spans="1:9">
      <c r="A296"/>
      <c r="B296"/>
      <c r="C296"/>
      <c r="D296"/>
      <c r="E296"/>
      <c r="F296"/>
      <c r="G296"/>
      <c r="H296"/>
      <c r="I296"/>
    </row>
    <row r="297" spans="1:9">
      <c r="A297"/>
      <c r="B297"/>
      <c r="C297"/>
      <c r="D297"/>
      <c r="E297"/>
      <c r="F297"/>
      <c r="G297"/>
      <c r="H297"/>
      <c r="I297"/>
    </row>
    <row r="298" spans="1:9">
      <c r="A298"/>
      <c r="B298"/>
      <c r="C298"/>
      <c r="D298"/>
      <c r="E298"/>
      <c r="F298"/>
      <c r="G298"/>
      <c r="H298"/>
      <c r="I298"/>
    </row>
    <row r="299" spans="1:9">
      <c r="A299"/>
      <c r="B299"/>
      <c r="C299"/>
      <c r="D299"/>
      <c r="E299"/>
      <c r="F299"/>
      <c r="G299"/>
      <c r="H299"/>
      <c r="I299"/>
    </row>
    <row r="300" spans="1:9">
      <c r="A300"/>
      <c r="B300"/>
      <c r="C300"/>
      <c r="D300"/>
      <c r="E300"/>
      <c r="F300"/>
      <c r="G300"/>
      <c r="H300"/>
      <c r="I300"/>
    </row>
    <row r="301" spans="1:9">
      <c r="A301"/>
      <c r="B301"/>
      <c r="C301"/>
      <c r="D301"/>
      <c r="E301"/>
      <c r="F301"/>
      <c r="G301"/>
      <c r="H301"/>
      <c r="I301"/>
    </row>
    <row r="302" spans="1:9">
      <c r="A302"/>
      <c r="B302"/>
      <c r="C302"/>
      <c r="D302"/>
      <c r="E302"/>
      <c r="F302"/>
      <c r="G302"/>
      <c r="H302"/>
      <c r="I302"/>
    </row>
    <row r="303" spans="1:9">
      <c r="A303"/>
      <c r="B303"/>
      <c r="C303"/>
      <c r="D303"/>
      <c r="E303"/>
      <c r="F303"/>
      <c r="G303"/>
      <c r="H303"/>
      <c r="I303"/>
    </row>
    <row r="304" spans="1:9">
      <c r="A304"/>
      <c r="B304"/>
      <c r="C304"/>
      <c r="D304"/>
      <c r="E304"/>
      <c r="F304"/>
      <c r="G304"/>
      <c r="H304"/>
      <c r="I304"/>
    </row>
    <row r="305" spans="1:9">
      <c r="A305"/>
      <c r="B305"/>
      <c r="C305"/>
      <c r="D305"/>
      <c r="E305"/>
      <c r="F305"/>
      <c r="G305"/>
      <c r="H305"/>
      <c r="I305"/>
    </row>
    <row r="306" spans="1:9">
      <c r="A306"/>
      <c r="B306"/>
      <c r="C306"/>
      <c r="D306"/>
      <c r="E306"/>
      <c r="F306"/>
      <c r="G306"/>
      <c r="H306"/>
      <c r="I306"/>
    </row>
    <row r="307" spans="1:9">
      <c r="A307"/>
      <c r="B307"/>
      <c r="C307"/>
      <c r="D307"/>
      <c r="E307"/>
      <c r="F307"/>
      <c r="G307"/>
      <c r="H307"/>
      <c r="I307"/>
    </row>
    <row r="308" spans="1:9">
      <c r="A308"/>
      <c r="B308"/>
      <c r="C308"/>
      <c r="D308"/>
      <c r="E308"/>
      <c r="F308"/>
      <c r="G308"/>
      <c r="H308"/>
      <c r="I308"/>
    </row>
    <row r="309" spans="1:9">
      <c r="A309"/>
      <c r="B309"/>
      <c r="C309"/>
      <c r="D309"/>
      <c r="E309"/>
      <c r="F309"/>
      <c r="G309"/>
      <c r="H309"/>
      <c r="I309"/>
    </row>
    <row r="310" spans="1:9">
      <c r="A310"/>
      <c r="B310"/>
      <c r="C310"/>
      <c r="D310"/>
      <c r="E310"/>
      <c r="F310"/>
      <c r="G310"/>
      <c r="H310"/>
      <c r="I310"/>
    </row>
    <row r="311" spans="1:9">
      <c r="A311"/>
      <c r="B311"/>
      <c r="C311"/>
      <c r="D311"/>
      <c r="E311"/>
      <c r="F311"/>
      <c r="G311"/>
      <c r="H311"/>
      <c r="I311"/>
    </row>
    <row r="312" spans="1:9">
      <c r="A312"/>
      <c r="B312"/>
      <c r="C312"/>
      <c r="D312"/>
      <c r="E312"/>
      <c r="F312"/>
      <c r="G312"/>
      <c r="H312"/>
      <c r="I312"/>
    </row>
    <row r="313" spans="1:9">
      <c r="A313"/>
      <c r="B313"/>
      <c r="C313"/>
      <c r="D313"/>
      <c r="E313"/>
      <c r="F313"/>
      <c r="G313"/>
      <c r="H313"/>
      <c r="I313"/>
    </row>
    <row r="314" spans="1:9">
      <c r="A314"/>
      <c r="B314"/>
      <c r="C314"/>
      <c r="D314"/>
      <c r="E314"/>
      <c r="F314"/>
      <c r="G314"/>
      <c r="H314"/>
      <c r="I314"/>
    </row>
    <row r="315" spans="1:9">
      <c r="A315"/>
      <c r="B315"/>
      <c r="C315"/>
      <c r="D315"/>
      <c r="E315"/>
      <c r="F315"/>
      <c r="G315"/>
      <c r="H315"/>
      <c r="I315"/>
    </row>
    <row r="316" spans="1:9">
      <c r="A316"/>
      <c r="B316"/>
      <c r="C316"/>
      <c r="D316"/>
      <c r="E316"/>
      <c r="F316"/>
      <c r="G316"/>
      <c r="H316"/>
      <c r="I316"/>
    </row>
    <row r="317" spans="1:9">
      <c r="A317"/>
      <c r="B317"/>
      <c r="C317"/>
      <c r="D317"/>
      <c r="E317"/>
      <c r="F317"/>
      <c r="G317"/>
      <c r="H317"/>
      <c r="I317"/>
    </row>
    <row r="318" spans="1:9">
      <c r="A318"/>
      <c r="B318"/>
      <c r="C318"/>
      <c r="D318"/>
      <c r="E318"/>
      <c r="F318"/>
      <c r="G318"/>
      <c r="H318"/>
      <c r="I318"/>
    </row>
    <row r="319" spans="1:9">
      <c r="A319"/>
      <c r="B319"/>
      <c r="C319"/>
      <c r="D319"/>
      <c r="E319"/>
      <c r="F319"/>
      <c r="G319"/>
      <c r="H319"/>
      <c r="I319"/>
    </row>
    <row r="320" spans="1:9">
      <c r="A320"/>
      <c r="B320"/>
      <c r="C320"/>
      <c r="D320"/>
      <c r="E320"/>
      <c r="F320"/>
      <c r="G320"/>
      <c r="H320"/>
      <c r="I320"/>
    </row>
    <row r="321" spans="1:9">
      <c r="A321"/>
      <c r="B321"/>
      <c r="C321"/>
      <c r="D321"/>
      <c r="E321"/>
      <c r="F321"/>
      <c r="G321"/>
      <c r="H321"/>
      <c r="I321"/>
    </row>
    <row r="322" spans="1:9">
      <c r="A322"/>
      <c r="B322"/>
      <c r="C322"/>
      <c r="D322"/>
      <c r="E322"/>
      <c r="F322"/>
      <c r="G322"/>
      <c r="H322"/>
      <c r="I322"/>
    </row>
    <row r="323" spans="1:9">
      <c r="A323"/>
      <c r="B323"/>
      <c r="C323"/>
      <c r="D323"/>
      <c r="E323"/>
      <c r="F323"/>
      <c r="G323"/>
      <c r="H323"/>
      <c r="I323"/>
    </row>
    <row r="324" spans="1:9">
      <c r="A324"/>
      <c r="B324"/>
      <c r="C324"/>
      <c r="D324"/>
      <c r="E324"/>
      <c r="F324"/>
      <c r="G324"/>
      <c r="H324"/>
      <c r="I324"/>
    </row>
    <row r="325" spans="1:9">
      <c r="A325"/>
      <c r="B325"/>
      <c r="C325"/>
      <c r="D325"/>
      <c r="E325"/>
      <c r="F325"/>
      <c r="G325"/>
      <c r="H325"/>
      <c r="I325"/>
    </row>
    <row r="326" spans="1:9">
      <c r="A326"/>
      <c r="B326"/>
      <c r="C326"/>
      <c r="D326"/>
      <c r="E326"/>
      <c r="F326"/>
      <c r="G326"/>
      <c r="H326"/>
      <c r="I326"/>
    </row>
    <row r="327" spans="1:9">
      <c r="A327"/>
      <c r="B327"/>
      <c r="C327"/>
      <c r="D327"/>
      <c r="E327"/>
      <c r="F327"/>
      <c r="G327"/>
      <c r="H327"/>
      <c r="I327"/>
    </row>
    <row r="328" spans="1:9">
      <c r="A328"/>
      <c r="B328"/>
      <c r="C328"/>
      <c r="D328"/>
      <c r="E328"/>
      <c r="F328"/>
      <c r="G328"/>
      <c r="H328"/>
      <c r="I328"/>
    </row>
    <row r="329" spans="1:9">
      <c r="A329"/>
      <c r="B329"/>
      <c r="C329"/>
      <c r="D329"/>
      <c r="E329"/>
      <c r="F329"/>
      <c r="G329"/>
      <c r="H329"/>
      <c r="I329"/>
    </row>
    <row r="330" spans="1:9">
      <c r="A330"/>
      <c r="B330"/>
      <c r="C330"/>
      <c r="D330"/>
      <c r="E330"/>
      <c r="F330"/>
      <c r="G330"/>
      <c r="H330"/>
      <c r="I330"/>
    </row>
    <row r="331" spans="1:9">
      <c r="A331"/>
      <c r="B331"/>
      <c r="C331"/>
      <c r="D331"/>
      <c r="E331"/>
      <c r="F331"/>
      <c r="G331"/>
      <c r="H331"/>
      <c r="I331"/>
    </row>
    <row r="332" spans="1:9">
      <c r="A332"/>
      <c r="B332"/>
      <c r="C332"/>
      <c r="D332"/>
      <c r="E332"/>
      <c r="F332"/>
      <c r="G332"/>
      <c r="H332"/>
      <c r="I332"/>
    </row>
    <row r="333" spans="1:9">
      <c r="A333"/>
      <c r="B333"/>
      <c r="C333"/>
      <c r="D333"/>
      <c r="E333"/>
      <c r="F333"/>
      <c r="G333"/>
      <c r="H333"/>
      <c r="I333"/>
    </row>
    <row r="334" spans="1:9">
      <c r="A334"/>
      <c r="B334"/>
      <c r="C334"/>
      <c r="D334"/>
      <c r="E334"/>
      <c r="F334"/>
      <c r="G334"/>
      <c r="H334"/>
      <c r="I334"/>
    </row>
    <row r="335" spans="1:9">
      <c r="A335"/>
      <c r="B335"/>
      <c r="C335"/>
      <c r="D335"/>
      <c r="E335"/>
      <c r="F335"/>
      <c r="G335"/>
      <c r="H335"/>
      <c r="I335"/>
    </row>
    <row r="336" spans="1:9">
      <c r="A336"/>
      <c r="B336"/>
      <c r="C336"/>
      <c r="D336"/>
      <c r="E336"/>
      <c r="F336"/>
      <c r="G336"/>
      <c r="H336"/>
      <c r="I336"/>
    </row>
    <row r="337" spans="1:9">
      <c r="A337"/>
      <c r="B337"/>
      <c r="C337"/>
      <c r="D337"/>
      <c r="E337"/>
      <c r="F337"/>
      <c r="G337"/>
      <c r="H337"/>
      <c r="I337"/>
    </row>
    <row r="338" spans="1:9">
      <c r="A338"/>
      <c r="B338"/>
      <c r="C338"/>
      <c r="D338"/>
      <c r="E338"/>
      <c r="F338"/>
      <c r="G338"/>
      <c r="H338"/>
      <c r="I338"/>
    </row>
    <row r="339" spans="1:9">
      <c r="A339"/>
      <c r="B339"/>
      <c r="C339"/>
      <c r="D339"/>
      <c r="E339"/>
      <c r="F339"/>
      <c r="G339"/>
      <c r="H339"/>
      <c r="I339"/>
    </row>
    <row r="340" spans="1:9">
      <c r="A340"/>
      <c r="B340"/>
      <c r="C340"/>
      <c r="D340"/>
      <c r="E340"/>
      <c r="F340"/>
      <c r="G340"/>
      <c r="H340"/>
      <c r="I340"/>
    </row>
    <row r="341" spans="1:9">
      <c r="A341"/>
      <c r="B341"/>
      <c r="C341"/>
      <c r="D341"/>
      <c r="E341"/>
      <c r="F341"/>
      <c r="G341"/>
      <c r="H341"/>
      <c r="I341"/>
    </row>
    <row r="342" spans="1:9">
      <c r="A342"/>
      <c r="B342"/>
      <c r="C342"/>
      <c r="D342"/>
      <c r="E342"/>
      <c r="F342"/>
      <c r="G342"/>
      <c r="H342"/>
      <c r="I342"/>
    </row>
    <row r="343" spans="1:9">
      <c r="A343"/>
      <c r="B343"/>
      <c r="C343"/>
      <c r="D343"/>
      <c r="E343"/>
      <c r="F343"/>
      <c r="G343"/>
      <c r="H343"/>
      <c r="I343"/>
    </row>
    <row r="344" spans="1:9">
      <c r="A344"/>
      <c r="B344"/>
      <c r="C344"/>
      <c r="D344"/>
      <c r="E344"/>
      <c r="F344"/>
      <c r="G344"/>
      <c r="H344"/>
      <c r="I344"/>
    </row>
    <row r="345" spans="1:9">
      <c r="A345"/>
      <c r="B345"/>
      <c r="C345"/>
      <c r="D345"/>
      <c r="E345"/>
      <c r="F345"/>
      <c r="G345"/>
      <c r="H345"/>
      <c r="I345"/>
    </row>
    <row r="346" spans="1:9">
      <c r="A346"/>
      <c r="B346"/>
      <c r="C346"/>
      <c r="D346"/>
      <c r="E346"/>
      <c r="F346"/>
      <c r="G346"/>
      <c r="H346"/>
      <c r="I346"/>
    </row>
    <row r="347" spans="1:9">
      <c r="A347"/>
      <c r="B347"/>
      <c r="C347"/>
      <c r="D347"/>
      <c r="E347"/>
      <c r="F347"/>
      <c r="G347"/>
      <c r="H347"/>
      <c r="I347"/>
    </row>
    <row r="348" spans="1:9">
      <c r="A348"/>
      <c r="B348"/>
      <c r="C348"/>
      <c r="D348"/>
      <c r="E348"/>
      <c r="F348"/>
      <c r="G348"/>
      <c r="H348"/>
      <c r="I348"/>
    </row>
    <row r="349" spans="1:9">
      <c r="A349"/>
      <c r="B349"/>
      <c r="C349"/>
      <c r="D349"/>
      <c r="E349"/>
      <c r="F349"/>
      <c r="G349"/>
      <c r="H349"/>
      <c r="I349"/>
    </row>
    <row r="350" spans="1:9">
      <c r="A350"/>
      <c r="B350"/>
      <c r="C350"/>
      <c r="D350"/>
      <c r="E350"/>
      <c r="F350"/>
      <c r="G350"/>
      <c r="H350"/>
      <c r="I350"/>
    </row>
    <row r="351" spans="1:9">
      <c r="A351"/>
      <c r="B351"/>
      <c r="C351"/>
      <c r="D351"/>
      <c r="E351"/>
      <c r="F351"/>
      <c r="G351"/>
      <c r="H351"/>
      <c r="I351"/>
    </row>
    <row r="352" spans="1:9">
      <c r="A352"/>
      <c r="B352"/>
      <c r="C352"/>
      <c r="D352"/>
      <c r="E352"/>
      <c r="F352"/>
      <c r="G352"/>
      <c r="H352"/>
      <c r="I352"/>
    </row>
    <row r="353" spans="1:9">
      <c r="A353"/>
      <c r="B353"/>
      <c r="C353"/>
      <c r="D353"/>
      <c r="E353"/>
      <c r="F353"/>
      <c r="G353"/>
      <c r="H353"/>
      <c r="I353"/>
    </row>
    <row r="354" spans="1:9">
      <c r="A354"/>
      <c r="B354"/>
      <c r="C354"/>
      <c r="D354"/>
      <c r="E354"/>
      <c r="F354"/>
      <c r="G354"/>
      <c r="H354"/>
      <c r="I354"/>
    </row>
    <row r="355" spans="1:9">
      <c r="A355"/>
      <c r="B355"/>
      <c r="C355"/>
      <c r="D355"/>
      <c r="E355"/>
      <c r="F355"/>
      <c r="G355"/>
      <c r="H355"/>
      <c r="I355"/>
    </row>
    <row r="356" spans="1:9">
      <c r="A356"/>
      <c r="B356"/>
      <c r="C356"/>
      <c r="D356"/>
      <c r="E356"/>
      <c r="F356"/>
      <c r="G356"/>
      <c r="H356"/>
      <c r="I356"/>
    </row>
    <row r="357" spans="1:9">
      <c r="A357"/>
      <c r="B357"/>
      <c r="C357"/>
      <c r="D357"/>
      <c r="E357"/>
      <c r="F357"/>
      <c r="G357"/>
      <c r="H357"/>
      <c r="I357"/>
    </row>
    <row r="358" spans="1:9">
      <c r="A358"/>
      <c r="B358"/>
      <c r="C358"/>
      <c r="D358"/>
      <c r="E358"/>
      <c r="F358"/>
      <c r="G358"/>
      <c r="H358"/>
      <c r="I358"/>
    </row>
    <row r="359" spans="1:9">
      <c r="A359"/>
      <c r="B359"/>
      <c r="C359"/>
      <c r="D359"/>
      <c r="E359"/>
      <c r="F359"/>
      <c r="G359"/>
      <c r="H359"/>
      <c r="I359"/>
    </row>
    <row r="360" spans="1:9">
      <c r="A360"/>
      <c r="B360"/>
      <c r="C360"/>
      <c r="D360"/>
      <c r="E360"/>
      <c r="F360"/>
      <c r="G360"/>
      <c r="H360"/>
      <c r="I360"/>
    </row>
    <row r="361" spans="1:9">
      <c r="A361"/>
      <c r="B361"/>
      <c r="C361"/>
      <c r="D361"/>
      <c r="E361"/>
      <c r="F361"/>
      <c r="G361"/>
      <c r="H361"/>
      <c r="I361"/>
    </row>
    <row r="362" spans="1:9">
      <c r="A362"/>
      <c r="B362"/>
      <c r="C362"/>
      <c r="D362"/>
      <c r="E362"/>
      <c r="F362"/>
      <c r="G362"/>
      <c r="H362"/>
      <c r="I362"/>
    </row>
    <row r="363" spans="1:9">
      <c r="A363"/>
      <c r="B363"/>
      <c r="C363"/>
      <c r="D363"/>
      <c r="E363"/>
      <c r="F363"/>
      <c r="G363"/>
      <c r="H363"/>
      <c r="I363"/>
    </row>
    <row r="364" spans="1:9">
      <c r="A364"/>
      <c r="B364"/>
      <c r="C364"/>
      <c r="D364"/>
      <c r="E364"/>
      <c r="F364"/>
      <c r="G364"/>
      <c r="H364"/>
      <c r="I364"/>
    </row>
    <row r="365" spans="1:9">
      <c r="A365"/>
      <c r="B365"/>
      <c r="C365"/>
      <c r="D365"/>
      <c r="E365"/>
      <c r="F365"/>
      <c r="G365"/>
      <c r="H365"/>
      <c r="I365"/>
    </row>
    <row r="366" spans="1:9">
      <c r="A366"/>
      <c r="B366"/>
      <c r="C366"/>
      <c r="D366"/>
      <c r="E366"/>
      <c r="F366"/>
      <c r="G366"/>
      <c r="H366"/>
      <c r="I366"/>
    </row>
    <row r="367" spans="1:9">
      <c r="A367"/>
      <c r="B367"/>
      <c r="C367"/>
      <c r="D367"/>
      <c r="E367"/>
      <c r="F367"/>
      <c r="G367"/>
      <c r="H367"/>
      <c r="I367"/>
    </row>
    <row r="368" spans="1:9">
      <c r="A368"/>
      <c r="B368"/>
      <c r="C368"/>
      <c r="D368"/>
      <c r="E368"/>
      <c r="F368"/>
      <c r="G368"/>
      <c r="H368"/>
      <c r="I368"/>
    </row>
    <row r="369" spans="1:9">
      <c r="A369"/>
      <c r="B369"/>
      <c r="C369"/>
      <c r="D369"/>
      <c r="E369"/>
      <c r="F369"/>
      <c r="G369"/>
      <c r="H369"/>
      <c r="I369"/>
    </row>
    <row r="370" spans="1:9">
      <c r="A370"/>
      <c r="B370"/>
      <c r="C370"/>
      <c r="D370"/>
      <c r="E370"/>
      <c r="F370"/>
      <c r="G370"/>
      <c r="H370"/>
      <c r="I370"/>
    </row>
    <row r="371" spans="1:9">
      <c r="A371"/>
      <c r="B371"/>
      <c r="C371"/>
      <c r="D371"/>
      <c r="E371"/>
      <c r="F371"/>
      <c r="G371"/>
      <c r="H371"/>
      <c r="I371"/>
    </row>
    <row r="372" spans="1:9">
      <c r="A372"/>
      <c r="B372"/>
      <c r="C372"/>
      <c r="D372"/>
      <c r="E372"/>
      <c r="F372"/>
      <c r="G372"/>
      <c r="H372"/>
      <c r="I372"/>
    </row>
    <row r="373" spans="1:9">
      <c r="A373"/>
      <c r="B373"/>
      <c r="C373"/>
      <c r="D373"/>
      <c r="E373"/>
      <c r="F373"/>
      <c r="G373"/>
      <c r="H373"/>
      <c r="I373"/>
    </row>
    <row r="374" spans="1:9">
      <c r="A374"/>
      <c r="B374"/>
      <c r="C374"/>
      <c r="D374"/>
      <c r="E374"/>
      <c r="F374"/>
      <c r="G374"/>
      <c r="H374"/>
      <c r="I374"/>
    </row>
    <row r="375" spans="1:9">
      <c r="A375"/>
      <c r="B375"/>
      <c r="C375"/>
      <c r="D375"/>
      <c r="E375"/>
      <c r="F375"/>
      <c r="G375"/>
      <c r="H375"/>
      <c r="I375"/>
    </row>
    <row r="376" spans="1:9">
      <c r="A376"/>
      <c r="B376"/>
      <c r="C376"/>
      <c r="D376"/>
      <c r="E376"/>
      <c r="F376"/>
      <c r="G376"/>
      <c r="H376"/>
      <c r="I376"/>
    </row>
    <row r="377" spans="1:9">
      <c r="A377"/>
      <c r="B377"/>
      <c r="C377"/>
      <c r="D377"/>
      <c r="E377"/>
      <c r="F377"/>
      <c r="G377"/>
      <c r="H377"/>
      <c r="I377"/>
    </row>
    <row r="378" spans="1:9">
      <c r="A378"/>
      <c r="B378"/>
      <c r="C378"/>
      <c r="D378"/>
      <c r="E378"/>
      <c r="F378"/>
      <c r="G378"/>
      <c r="H378"/>
      <c r="I378"/>
    </row>
    <row r="379" spans="1:9">
      <c r="A379"/>
      <c r="B379"/>
      <c r="C379"/>
      <c r="D379"/>
      <c r="E379"/>
      <c r="F379"/>
      <c r="G379"/>
      <c r="H379"/>
      <c r="I379"/>
    </row>
    <row r="380" spans="1:9">
      <c r="A380"/>
      <c r="B380"/>
      <c r="C380"/>
      <c r="D380"/>
      <c r="E380"/>
      <c r="F380"/>
      <c r="G380"/>
      <c r="H380"/>
      <c r="I380"/>
    </row>
    <row r="381" spans="1:9">
      <c r="A381"/>
      <c r="B381"/>
      <c r="C381"/>
      <c r="D381"/>
      <c r="E381"/>
      <c r="F381"/>
      <c r="G381"/>
      <c r="H381"/>
      <c r="I381"/>
    </row>
    <row r="382" spans="1:9">
      <c r="A382"/>
      <c r="B382"/>
      <c r="C382"/>
      <c r="D382"/>
      <c r="E382"/>
      <c r="F382"/>
      <c r="G382"/>
      <c r="H382"/>
      <c r="I382"/>
    </row>
    <row r="383" spans="1:9">
      <c r="A383"/>
      <c r="B383"/>
      <c r="C383"/>
      <c r="D383"/>
    </row>
    <row r="384" spans="1:9">
      <c r="A384"/>
      <c r="B384"/>
      <c r="C384"/>
      <c r="D384"/>
    </row>
  </sheetData>
  <pageMargins left="0.7" right="0.7" top="0.75" bottom="0.75" header="0.3" footer="0.3"/>
  <pageSetup orientation="portrait" verticalDpi="0"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E2F68-D909-46BE-9F2C-CD56A97D9C4C}">
  <sheetPr>
    <tabColor theme="4" tint="0.79998168889431442"/>
    <pageSetUpPr fitToPage="1"/>
  </sheetPr>
  <dimension ref="A1:O901"/>
  <sheetViews>
    <sheetView workbookViewId="0">
      <pane ySplit="1" topLeftCell="A8" activePane="bottomLeft" state="frozen"/>
      <selection activeCell="B7" sqref="B7"/>
      <selection pane="bottomLeft" activeCell="C13" sqref="C13"/>
    </sheetView>
  </sheetViews>
  <sheetFormatPr defaultRowHeight="14.4"/>
  <cols>
    <col min="2" max="2" width="12" customWidth="1"/>
    <col min="3" max="3" width="14.109375" customWidth="1"/>
    <col min="4" max="4" width="12.5546875" customWidth="1"/>
    <col min="5" max="5" width="12.33203125" customWidth="1"/>
    <col min="6" max="6" width="10.88671875" customWidth="1"/>
    <col min="7" max="7" width="10.5546875" customWidth="1"/>
    <col min="8" max="8" width="11.109375" customWidth="1"/>
    <col min="9" max="9" width="12.88671875" customWidth="1"/>
  </cols>
  <sheetData>
    <row r="1" spans="1:15">
      <c r="A1" t="s">
        <v>5</v>
      </c>
      <c r="B1" t="s">
        <v>8</v>
      </c>
      <c r="C1" t="s">
        <v>7</v>
      </c>
      <c r="D1" t="s">
        <v>9</v>
      </c>
      <c r="E1" t="s">
        <v>10</v>
      </c>
      <c r="F1" t="s">
        <v>11</v>
      </c>
      <c r="G1" t="s">
        <v>522</v>
      </c>
      <c r="H1" t="s">
        <v>693</v>
      </c>
      <c r="I1" t="s">
        <v>794</v>
      </c>
    </row>
    <row r="2" spans="1:15">
      <c r="A2" s="177">
        <v>44743</v>
      </c>
      <c r="B2" t="s">
        <v>524</v>
      </c>
      <c r="C2" t="s">
        <v>15</v>
      </c>
      <c r="D2" s="684">
        <v>1</v>
      </c>
      <c r="E2" s="684">
        <v>1</v>
      </c>
      <c r="F2" t="s">
        <v>16</v>
      </c>
      <c r="G2" s="684">
        <v>1</v>
      </c>
      <c r="H2" s="684">
        <v>27.69</v>
      </c>
      <c r="I2" t="s">
        <v>699</v>
      </c>
      <c r="N2">
        <v>27.69</v>
      </c>
      <c r="O2">
        <v>-56.49</v>
      </c>
    </row>
    <row r="3" spans="1:15">
      <c r="A3" s="177">
        <v>44743</v>
      </c>
      <c r="B3" t="s">
        <v>524</v>
      </c>
      <c r="C3" t="s">
        <v>15</v>
      </c>
      <c r="D3" s="684">
        <v>1</v>
      </c>
      <c r="E3" s="684">
        <v>1</v>
      </c>
      <c r="F3" t="s">
        <v>17</v>
      </c>
      <c r="G3" s="684">
        <v>1.0789</v>
      </c>
      <c r="H3" s="684">
        <v>29.87</v>
      </c>
      <c r="I3" t="s">
        <v>699</v>
      </c>
    </row>
    <row r="4" spans="1:15">
      <c r="A4" s="177">
        <v>44743</v>
      </c>
      <c r="B4" t="s">
        <v>524</v>
      </c>
      <c r="C4" t="s">
        <v>15</v>
      </c>
      <c r="D4" s="684">
        <v>1</v>
      </c>
      <c r="E4" s="684">
        <v>1</v>
      </c>
      <c r="F4" t="s">
        <v>18</v>
      </c>
      <c r="G4" s="684">
        <v>1</v>
      </c>
      <c r="H4" s="684">
        <v>27.69</v>
      </c>
      <c r="I4" t="s">
        <v>699</v>
      </c>
    </row>
    <row r="5" spans="1:15">
      <c r="A5" s="177">
        <v>44743</v>
      </c>
      <c r="B5" t="s">
        <v>524</v>
      </c>
      <c r="C5" t="s">
        <v>15</v>
      </c>
      <c r="D5" s="684">
        <v>1</v>
      </c>
      <c r="E5" s="684">
        <v>1</v>
      </c>
      <c r="F5" t="s">
        <v>19</v>
      </c>
      <c r="G5" s="684">
        <v>1</v>
      </c>
      <c r="H5" s="684">
        <v>27.69</v>
      </c>
      <c r="I5" t="s">
        <v>699</v>
      </c>
    </row>
    <row r="6" spans="1:15">
      <c r="A6" s="177">
        <v>44743</v>
      </c>
      <c r="B6" t="s">
        <v>524</v>
      </c>
      <c r="C6" t="s">
        <v>15</v>
      </c>
      <c r="D6" s="684">
        <v>1</v>
      </c>
      <c r="E6" s="684">
        <v>1</v>
      </c>
      <c r="F6" t="s">
        <v>20</v>
      </c>
      <c r="G6" s="684">
        <v>1.0629</v>
      </c>
      <c r="H6" s="684">
        <v>29.43</v>
      </c>
      <c r="I6" t="s">
        <v>699</v>
      </c>
    </row>
    <row r="7" spans="1:15">
      <c r="A7" s="177">
        <v>44743</v>
      </c>
      <c r="B7" t="s">
        <v>524</v>
      </c>
      <c r="C7" t="s">
        <v>15</v>
      </c>
      <c r="D7" s="684">
        <v>1</v>
      </c>
      <c r="E7" s="684">
        <v>1</v>
      </c>
      <c r="F7" t="s">
        <v>21</v>
      </c>
      <c r="G7" s="684">
        <v>1</v>
      </c>
      <c r="H7" s="684">
        <v>27.69</v>
      </c>
      <c r="I7" t="s">
        <v>699</v>
      </c>
    </row>
    <row r="8" spans="1:15">
      <c r="A8" s="177">
        <v>44743</v>
      </c>
      <c r="B8" t="s">
        <v>525</v>
      </c>
      <c r="C8" t="s">
        <v>15</v>
      </c>
      <c r="D8" s="684">
        <v>1</v>
      </c>
      <c r="E8" s="684">
        <v>2</v>
      </c>
      <c r="F8" t="s">
        <v>16</v>
      </c>
      <c r="G8" s="684">
        <v>1</v>
      </c>
      <c r="H8" s="684">
        <v>30.56</v>
      </c>
      <c r="I8" t="s">
        <v>699</v>
      </c>
    </row>
    <row r="9" spans="1:15">
      <c r="A9" s="177">
        <v>44743</v>
      </c>
      <c r="B9" t="s">
        <v>525</v>
      </c>
      <c r="C9" t="s">
        <v>15</v>
      </c>
      <c r="D9" s="684">
        <v>1</v>
      </c>
      <c r="E9" s="684">
        <v>2</v>
      </c>
      <c r="F9" t="s">
        <v>17</v>
      </c>
      <c r="G9" s="684">
        <v>1.0789</v>
      </c>
      <c r="H9" s="684">
        <v>32.97</v>
      </c>
      <c r="I9" t="s">
        <v>699</v>
      </c>
    </row>
    <row r="10" spans="1:15">
      <c r="A10" s="177">
        <v>44743</v>
      </c>
      <c r="B10" t="s">
        <v>525</v>
      </c>
      <c r="C10" t="s">
        <v>15</v>
      </c>
      <c r="D10" s="684">
        <v>1</v>
      </c>
      <c r="E10" s="684">
        <v>2</v>
      </c>
      <c r="F10" t="s">
        <v>18</v>
      </c>
      <c r="G10" s="684">
        <v>1</v>
      </c>
      <c r="H10" s="684">
        <v>30.56</v>
      </c>
      <c r="I10" t="s">
        <v>699</v>
      </c>
    </row>
    <row r="11" spans="1:15">
      <c r="A11" s="177">
        <v>44743</v>
      </c>
      <c r="B11" t="s">
        <v>525</v>
      </c>
      <c r="C11" t="s">
        <v>15</v>
      </c>
      <c r="D11" s="684">
        <v>1</v>
      </c>
      <c r="E11" s="684">
        <v>2</v>
      </c>
      <c r="F11" t="s">
        <v>19</v>
      </c>
      <c r="G11" s="684">
        <v>1</v>
      </c>
      <c r="H11" s="684">
        <v>30.56</v>
      </c>
      <c r="I11" t="s">
        <v>699</v>
      </c>
    </row>
    <row r="12" spans="1:15">
      <c r="A12" s="177">
        <v>44743</v>
      </c>
      <c r="B12" t="s">
        <v>525</v>
      </c>
      <c r="C12" t="s">
        <v>15</v>
      </c>
      <c r="D12" s="684">
        <v>1</v>
      </c>
      <c r="E12" s="684">
        <v>2</v>
      </c>
      <c r="F12" t="s">
        <v>20</v>
      </c>
      <c r="G12" s="684">
        <v>1.0629</v>
      </c>
      <c r="H12" s="684">
        <v>32.479999999999997</v>
      </c>
      <c r="I12" t="s">
        <v>699</v>
      </c>
    </row>
    <row r="13" spans="1:15">
      <c r="A13" s="177">
        <v>44743</v>
      </c>
      <c r="B13" t="s">
        <v>525</v>
      </c>
      <c r="C13" t="s">
        <v>15</v>
      </c>
      <c r="D13" s="684">
        <v>1</v>
      </c>
      <c r="E13" s="684">
        <v>2</v>
      </c>
      <c r="F13" t="s">
        <v>21</v>
      </c>
      <c r="G13" s="684">
        <v>1</v>
      </c>
      <c r="H13" s="684">
        <v>30.56</v>
      </c>
      <c r="I13" t="s">
        <v>699</v>
      </c>
    </row>
    <row r="14" spans="1:15">
      <c r="A14" s="177">
        <v>44743</v>
      </c>
      <c r="B14" t="s">
        <v>526</v>
      </c>
      <c r="C14" t="s">
        <v>15</v>
      </c>
      <c r="D14" s="684">
        <v>1</v>
      </c>
      <c r="E14" s="684">
        <v>3</v>
      </c>
      <c r="F14" t="s">
        <v>16</v>
      </c>
      <c r="G14" s="684">
        <v>1</v>
      </c>
      <c r="H14" s="684">
        <v>35.229999999999997</v>
      </c>
      <c r="I14" t="s">
        <v>699</v>
      </c>
    </row>
    <row r="15" spans="1:15">
      <c r="A15" s="177">
        <v>44743</v>
      </c>
      <c r="B15" t="s">
        <v>526</v>
      </c>
      <c r="C15" t="s">
        <v>15</v>
      </c>
      <c r="D15" s="684">
        <v>1</v>
      </c>
      <c r="E15" s="684">
        <v>3</v>
      </c>
      <c r="F15" t="s">
        <v>17</v>
      </c>
      <c r="G15" s="684">
        <v>1.0789</v>
      </c>
      <c r="H15" s="684">
        <v>38.01</v>
      </c>
      <c r="I15" t="s">
        <v>699</v>
      </c>
    </row>
    <row r="16" spans="1:15">
      <c r="A16" s="177">
        <v>44743</v>
      </c>
      <c r="B16" t="s">
        <v>526</v>
      </c>
      <c r="C16" t="s">
        <v>15</v>
      </c>
      <c r="D16" s="684">
        <v>1</v>
      </c>
      <c r="E16" s="684">
        <v>3</v>
      </c>
      <c r="F16" t="s">
        <v>18</v>
      </c>
      <c r="G16" s="684">
        <v>1</v>
      </c>
      <c r="H16" s="684">
        <v>35.229999999999997</v>
      </c>
      <c r="I16" t="s">
        <v>699</v>
      </c>
    </row>
    <row r="17" spans="1:9">
      <c r="A17" s="177">
        <v>44743</v>
      </c>
      <c r="B17" t="s">
        <v>526</v>
      </c>
      <c r="C17" t="s">
        <v>15</v>
      </c>
      <c r="D17" s="684">
        <v>1</v>
      </c>
      <c r="E17" s="684">
        <v>3</v>
      </c>
      <c r="F17" t="s">
        <v>19</v>
      </c>
      <c r="G17" s="684">
        <v>1</v>
      </c>
      <c r="H17" s="684">
        <v>35.229999999999997</v>
      </c>
      <c r="I17" t="s">
        <v>699</v>
      </c>
    </row>
    <row r="18" spans="1:9">
      <c r="A18" s="177">
        <v>44743</v>
      </c>
      <c r="B18" t="s">
        <v>526</v>
      </c>
      <c r="C18" t="s">
        <v>15</v>
      </c>
      <c r="D18" s="684">
        <v>1</v>
      </c>
      <c r="E18" s="684">
        <v>3</v>
      </c>
      <c r="F18" t="s">
        <v>20</v>
      </c>
      <c r="G18" s="684">
        <v>1.0629</v>
      </c>
      <c r="H18" s="684">
        <v>37.450000000000003</v>
      </c>
      <c r="I18" t="s">
        <v>699</v>
      </c>
    </row>
    <row r="19" spans="1:9">
      <c r="A19" s="177">
        <v>44743</v>
      </c>
      <c r="B19" t="s">
        <v>526</v>
      </c>
      <c r="C19" t="s">
        <v>15</v>
      </c>
      <c r="D19" s="684">
        <v>1</v>
      </c>
      <c r="E19" s="684">
        <v>3</v>
      </c>
      <c r="F19" t="s">
        <v>21</v>
      </c>
      <c r="G19" s="684">
        <v>1</v>
      </c>
      <c r="H19" s="684">
        <v>35.229999999999997</v>
      </c>
      <c r="I19" t="s">
        <v>699</v>
      </c>
    </row>
    <row r="20" spans="1:9">
      <c r="A20" s="177">
        <v>44743</v>
      </c>
      <c r="B20" t="s">
        <v>527</v>
      </c>
      <c r="C20" t="s">
        <v>15</v>
      </c>
      <c r="D20" s="684">
        <v>1</v>
      </c>
      <c r="E20" s="684">
        <v>4</v>
      </c>
      <c r="F20" t="s">
        <v>16</v>
      </c>
      <c r="G20" s="684">
        <v>1</v>
      </c>
      <c r="H20" s="684">
        <v>41.56</v>
      </c>
      <c r="I20" t="s">
        <v>699</v>
      </c>
    </row>
    <row r="21" spans="1:9">
      <c r="A21" s="177">
        <v>44743</v>
      </c>
      <c r="B21" t="s">
        <v>527</v>
      </c>
      <c r="C21" t="s">
        <v>15</v>
      </c>
      <c r="D21" s="684">
        <v>1</v>
      </c>
      <c r="E21" s="684">
        <v>4</v>
      </c>
      <c r="F21" t="s">
        <v>17</v>
      </c>
      <c r="G21" s="684">
        <v>1.0789</v>
      </c>
      <c r="H21" s="684">
        <v>44.84</v>
      </c>
      <c r="I21" t="s">
        <v>699</v>
      </c>
    </row>
    <row r="22" spans="1:9">
      <c r="A22" s="177">
        <v>44743</v>
      </c>
      <c r="B22" t="s">
        <v>527</v>
      </c>
      <c r="C22" t="s">
        <v>15</v>
      </c>
      <c r="D22" s="684">
        <v>1</v>
      </c>
      <c r="E22" s="684">
        <v>4</v>
      </c>
      <c r="F22" t="s">
        <v>18</v>
      </c>
      <c r="G22" s="684">
        <v>1</v>
      </c>
      <c r="H22" s="684">
        <v>41.56</v>
      </c>
      <c r="I22" t="s">
        <v>699</v>
      </c>
    </row>
    <row r="23" spans="1:9">
      <c r="A23" s="177">
        <v>44743</v>
      </c>
      <c r="B23" t="s">
        <v>527</v>
      </c>
      <c r="C23" t="s">
        <v>15</v>
      </c>
      <c r="D23" s="684">
        <v>1</v>
      </c>
      <c r="E23" s="684">
        <v>4</v>
      </c>
      <c r="F23" t="s">
        <v>19</v>
      </c>
      <c r="G23" s="684">
        <v>1</v>
      </c>
      <c r="H23" s="684">
        <v>41.56</v>
      </c>
      <c r="I23" t="s">
        <v>699</v>
      </c>
    </row>
    <row r="24" spans="1:9">
      <c r="A24" s="177">
        <v>44743</v>
      </c>
      <c r="B24" t="s">
        <v>527</v>
      </c>
      <c r="C24" t="s">
        <v>15</v>
      </c>
      <c r="D24" s="684">
        <v>1</v>
      </c>
      <c r="E24" s="684">
        <v>4</v>
      </c>
      <c r="F24" t="s">
        <v>20</v>
      </c>
      <c r="G24" s="684">
        <v>1.0629</v>
      </c>
      <c r="H24" s="684">
        <v>44.17</v>
      </c>
      <c r="I24" t="s">
        <v>699</v>
      </c>
    </row>
    <row r="25" spans="1:9">
      <c r="A25" s="177">
        <v>44743</v>
      </c>
      <c r="B25" t="s">
        <v>527</v>
      </c>
      <c r="C25" t="s">
        <v>15</v>
      </c>
      <c r="D25" s="684">
        <v>1</v>
      </c>
      <c r="E25" s="684">
        <v>4</v>
      </c>
      <c r="F25" t="s">
        <v>21</v>
      </c>
      <c r="G25" s="684">
        <v>1</v>
      </c>
      <c r="H25" s="684">
        <v>41.56</v>
      </c>
      <c r="I25" t="s">
        <v>699</v>
      </c>
    </row>
    <row r="26" spans="1:9">
      <c r="A26" s="177">
        <v>44743</v>
      </c>
      <c r="B26" t="s">
        <v>528</v>
      </c>
      <c r="C26" t="s">
        <v>15</v>
      </c>
      <c r="D26" s="684">
        <v>1</v>
      </c>
      <c r="E26" s="684">
        <v>5</v>
      </c>
      <c r="F26" t="s">
        <v>16</v>
      </c>
      <c r="G26" s="684">
        <v>1</v>
      </c>
      <c r="H26" s="684">
        <v>47.1</v>
      </c>
      <c r="I26" t="s">
        <v>699</v>
      </c>
    </row>
    <row r="27" spans="1:9">
      <c r="A27" s="177">
        <v>44743</v>
      </c>
      <c r="B27" t="s">
        <v>528</v>
      </c>
      <c r="C27" t="s">
        <v>15</v>
      </c>
      <c r="D27" s="684">
        <v>1</v>
      </c>
      <c r="E27" s="684">
        <v>5</v>
      </c>
      <c r="F27" t="s">
        <v>17</v>
      </c>
      <c r="G27" s="684">
        <v>1.0789</v>
      </c>
      <c r="H27" s="684">
        <v>50.82</v>
      </c>
      <c r="I27" t="s">
        <v>699</v>
      </c>
    </row>
    <row r="28" spans="1:9">
      <c r="A28" s="177">
        <v>44743</v>
      </c>
      <c r="B28" t="s">
        <v>528</v>
      </c>
      <c r="C28" t="s">
        <v>15</v>
      </c>
      <c r="D28" s="684">
        <v>1</v>
      </c>
      <c r="E28" s="684">
        <v>5</v>
      </c>
      <c r="F28" t="s">
        <v>18</v>
      </c>
      <c r="G28" s="684">
        <v>1</v>
      </c>
      <c r="H28" s="684">
        <v>47.1</v>
      </c>
      <c r="I28" t="s">
        <v>699</v>
      </c>
    </row>
    <row r="29" spans="1:9">
      <c r="A29" s="177">
        <v>44743</v>
      </c>
      <c r="B29" t="s">
        <v>528</v>
      </c>
      <c r="C29" t="s">
        <v>15</v>
      </c>
      <c r="D29" s="684">
        <v>1</v>
      </c>
      <c r="E29" s="684">
        <v>5</v>
      </c>
      <c r="F29" t="s">
        <v>19</v>
      </c>
      <c r="G29" s="684">
        <v>1</v>
      </c>
      <c r="H29" s="684">
        <v>47.1</v>
      </c>
      <c r="I29" t="s">
        <v>699</v>
      </c>
    </row>
    <row r="30" spans="1:9">
      <c r="A30" s="177">
        <v>44743</v>
      </c>
      <c r="B30" t="s">
        <v>528</v>
      </c>
      <c r="C30" t="s">
        <v>15</v>
      </c>
      <c r="D30" s="684">
        <v>1</v>
      </c>
      <c r="E30" s="684">
        <v>5</v>
      </c>
      <c r="F30" t="s">
        <v>20</v>
      </c>
      <c r="G30" s="684">
        <v>1.0629</v>
      </c>
      <c r="H30" s="684">
        <v>50.06</v>
      </c>
      <c r="I30" t="s">
        <v>699</v>
      </c>
    </row>
    <row r="31" spans="1:9">
      <c r="A31" s="177">
        <v>44743</v>
      </c>
      <c r="B31" t="s">
        <v>528</v>
      </c>
      <c r="C31" t="s">
        <v>15</v>
      </c>
      <c r="D31" s="684">
        <v>1</v>
      </c>
      <c r="E31" s="684">
        <v>5</v>
      </c>
      <c r="F31" t="s">
        <v>21</v>
      </c>
      <c r="G31" s="684">
        <v>1</v>
      </c>
      <c r="H31" s="684">
        <v>47.1</v>
      </c>
      <c r="I31" t="s">
        <v>699</v>
      </c>
    </row>
    <row r="32" spans="1:9">
      <c r="A32" s="177">
        <v>44743</v>
      </c>
      <c r="B32" t="s">
        <v>529</v>
      </c>
      <c r="C32" t="s">
        <v>15</v>
      </c>
      <c r="D32" s="684">
        <v>2</v>
      </c>
      <c r="E32" s="684">
        <v>1</v>
      </c>
      <c r="F32" t="s">
        <v>16</v>
      </c>
      <c r="G32" s="684">
        <v>1</v>
      </c>
      <c r="H32" s="684">
        <v>33.090000000000003</v>
      </c>
      <c r="I32" t="s">
        <v>699</v>
      </c>
    </row>
    <row r="33" spans="1:9">
      <c r="A33" s="177">
        <v>44743</v>
      </c>
      <c r="B33" t="s">
        <v>529</v>
      </c>
      <c r="C33" t="s">
        <v>15</v>
      </c>
      <c r="D33" s="684">
        <v>2</v>
      </c>
      <c r="E33" s="684">
        <v>1</v>
      </c>
      <c r="F33" t="s">
        <v>17</v>
      </c>
      <c r="G33" s="684">
        <v>1.0789</v>
      </c>
      <c r="H33" s="684">
        <v>35.700000000000003</v>
      </c>
      <c r="I33" t="s">
        <v>699</v>
      </c>
    </row>
    <row r="34" spans="1:9">
      <c r="A34" s="177">
        <v>44743</v>
      </c>
      <c r="B34" t="s">
        <v>529</v>
      </c>
      <c r="C34" t="s">
        <v>15</v>
      </c>
      <c r="D34" s="684">
        <v>2</v>
      </c>
      <c r="E34" s="684">
        <v>1</v>
      </c>
      <c r="F34" t="s">
        <v>18</v>
      </c>
      <c r="G34" s="684">
        <v>1</v>
      </c>
      <c r="H34" s="684">
        <v>33.090000000000003</v>
      </c>
      <c r="I34" t="s">
        <v>699</v>
      </c>
    </row>
    <row r="35" spans="1:9">
      <c r="A35" s="177">
        <v>44743</v>
      </c>
      <c r="B35" t="s">
        <v>529</v>
      </c>
      <c r="C35" t="s">
        <v>15</v>
      </c>
      <c r="D35" s="684">
        <v>2</v>
      </c>
      <c r="E35" s="684">
        <v>1</v>
      </c>
      <c r="F35" t="s">
        <v>19</v>
      </c>
      <c r="G35" s="684">
        <v>1</v>
      </c>
      <c r="H35" s="684">
        <v>33.090000000000003</v>
      </c>
      <c r="I35" t="s">
        <v>699</v>
      </c>
    </row>
    <row r="36" spans="1:9">
      <c r="A36" s="177">
        <v>44743</v>
      </c>
      <c r="B36" t="s">
        <v>529</v>
      </c>
      <c r="C36" t="s">
        <v>15</v>
      </c>
      <c r="D36" s="684">
        <v>2</v>
      </c>
      <c r="E36" s="684">
        <v>1</v>
      </c>
      <c r="F36" t="s">
        <v>20</v>
      </c>
      <c r="G36" s="684">
        <v>1.0629</v>
      </c>
      <c r="H36" s="684">
        <v>35.17</v>
      </c>
      <c r="I36" t="s">
        <v>699</v>
      </c>
    </row>
    <row r="37" spans="1:9">
      <c r="A37" s="177">
        <v>44743</v>
      </c>
      <c r="B37" t="s">
        <v>529</v>
      </c>
      <c r="C37" t="s">
        <v>15</v>
      </c>
      <c r="D37" s="684">
        <v>2</v>
      </c>
      <c r="E37" s="684">
        <v>1</v>
      </c>
      <c r="F37" t="s">
        <v>21</v>
      </c>
      <c r="G37" s="684">
        <v>1</v>
      </c>
      <c r="H37" s="684">
        <v>33.090000000000003</v>
      </c>
      <c r="I37" t="s">
        <v>699</v>
      </c>
    </row>
    <row r="38" spans="1:9">
      <c r="A38" s="177">
        <v>44743</v>
      </c>
      <c r="B38" t="s">
        <v>530</v>
      </c>
      <c r="C38" t="s">
        <v>15</v>
      </c>
      <c r="D38" s="684">
        <v>2</v>
      </c>
      <c r="E38" s="684">
        <v>2</v>
      </c>
      <c r="F38" t="s">
        <v>16</v>
      </c>
      <c r="G38" s="684">
        <v>1</v>
      </c>
      <c r="H38" s="684">
        <v>35.950000000000003</v>
      </c>
      <c r="I38" t="s">
        <v>699</v>
      </c>
    </row>
    <row r="39" spans="1:9">
      <c r="A39" s="177">
        <v>44743</v>
      </c>
      <c r="B39" t="s">
        <v>530</v>
      </c>
      <c r="C39" t="s">
        <v>15</v>
      </c>
      <c r="D39" s="684">
        <v>2</v>
      </c>
      <c r="E39" s="684">
        <v>2</v>
      </c>
      <c r="F39" t="s">
        <v>17</v>
      </c>
      <c r="G39" s="684">
        <v>1.0789</v>
      </c>
      <c r="H39" s="684">
        <v>38.79</v>
      </c>
      <c r="I39" t="s">
        <v>699</v>
      </c>
    </row>
    <row r="40" spans="1:9">
      <c r="A40" s="177">
        <v>44743</v>
      </c>
      <c r="B40" t="s">
        <v>530</v>
      </c>
      <c r="C40" t="s">
        <v>15</v>
      </c>
      <c r="D40" s="684">
        <v>2</v>
      </c>
      <c r="E40" s="684">
        <v>2</v>
      </c>
      <c r="F40" t="s">
        <v>18</v>
      </c>
      <c r="G40" s="684">
        <v>1</v>
      </c>
      <c r="H40" s="684">
        <v>35.950000000000003</v>
      </c>
      <c r="I40" t="s">
        <v>699</v>
      </c>
    </row>
    <row r="41" spans="1:9">
      <c r="A41" s="177">
        <v>44743</v>
      </c>
      <c r="B41" t="s">
        <v>530</v>
      </c>
      <c r="C41" t="s">
        <v>15</v>
      </c>
      <c r="D41" s="684">
        <v>2</v>
      </c>
      <c r="E41" s="684">
        <v>2</v>
      </c>
      <c r="F41" t="s">
        <v>19</v>
      </c>
      <c r="G41" s="684">
        <v>1</v>
      </c>
      <c r="H41" s="684">
        <v>35.950000000000003</v>
      </c>
      <c r="I41" t="s">
        <v>699</v>
      </c>
    </row>
    <row r="42" spans="1:9">
      <c r="A42" s="177">
        <v>44743</v>
      </c>
      <c r="B42" t="s">
        <v>530</v>
      </c>
      <c r="C42" t="s">
        <v>15</v>
      </c>
      <c r="D42" s="684">
        <v>2</v>
      </c>
      <c r="E42" s="684">
        <v>2</v>
      </c>
      <c r="F42" t="s">
        <v>20</v>
      </c>
      <c r="G42" s="684">
        <v>1.0629</v>
      </c>
      <c r="H42" s="684">
        <v>38.21</v>
      </c>
      <c r="I42" t="s">
        <v>699</v>
      </c>
    </row>
    <row r="43" spans="1:9">
      <c r="A43" s="177">
        <v>44743</v>
      </c>
      <c r="B43" t="s">
        <v>530</v>
      </c>
      <c r="C43" t="s">
        <v>15</v>
      </c>
      <c r="D43" s="684">
        <v>2</v>
      </c>
      <c r="E43" s="684">
        <v>2</v>
      </c>
      <c r="F43" t="s">
        <v>21</v>
      </c>
      <c r="G43" s="684">
        <v>1</v>
      </c>
      <c r="H43" s="684">
        <v>35.950000000000003</v>
      </c>
      <c r="I43" t="s">
        <v>699</v>
      </c>
    </row>
    <row r="44" spans="1:9">
      <c r="A44" s="177">
        <v>44743</v>
      </c>
      <c r="B44" t="s">
        <v>531</v>
      </c>
      <c r="C44" t="s">
        <v>15</v>
      </c>
      <c r="D44" s="684">
        <v>2</v>
      </c>
      <c r="E44" s="684">
        <v>3</v>
      </c>
      <c r="F44" t="s">
        <v>16</v>
      </c>
      <c r="G44" s="684">
        <v>1</v>
      </c>
      <c r="H44" s="684">
        <v>40.65</v>
      </c>
      <c r="I44" t="s">
        <v>699</v>
      </c>
    </row>
    <row r="45" spans="1:9">
      <c r="A45" s="177">
        <v>44743</v>
      </c>
      <c r="B45" t="s">
        <v>531</v>
      </c>
      <c r="C45" t="s">
        <v>15</v>
      </c>
      <c r="D45" s="684">
        <v>2</v>
      </c>
      <c r="E45" s="684">
        <v>3</v>
      </c>
      <c r="F45" t="s">
        <v>17</v>
      </c>
      <c r="G45" s="684">
        <v>1.0789</v>
      </c>
      <c r="H45" s="684">
        <v>43.86</v>
      </c>
      <c r="I45" t="s">
        <v>699</v>
      </c>
    </row>
    <row r="46" spans="1:9">
      <c r="A46" s="177">
        <v>44743</v>
      </c>
      <c r="B46" t="s">
        <v>531</v>
      </c>
      <c r="C46" t="s">
        <v>15</v>
      </c>
      <c r="D46" s="684">
        <v>2</v>
      </c>
      <c r="E46" s="684">
        <v>3</v>
      </c>
      <c r="F46" t="s">
        <v>18</v>
      </c>
      <c r="G46" s="684">
        <v>1</v>
      </c>
      <c r="H46" s="684">
        <v>40.65</v>
      </c>
      <c r="I46" t="s">
        <v>699</v>
      </c>
    </row>
    <row r="47" spans="1:9">
      <c r="A47" s="177">
        <v>44743</v>
      </c>
      <c r="B47" t="s">
        <v>531</v>
      </c>
      <c r="C47" t="s">
        <v>15</v>
      </c>
      <c r="D47" s="684">
        <v>2</v>
      </c>
      <c r="E47" s="684">
        <v>3</v>
      </c>
      <c r="F47" t="s">
        <v>19</v>
      </c>
      <c r="G47" s="684">
        <v>1</v>
      </c>
      <c r="H47" s="684">
        <v>40.65</v>
      </c>
      <c r="I47" t="s">
        <v>699</v>
      </c>
    </row>
    <row r="48" spans="1:9">
      <c r="A48" s="177">
        <v>44743</v>
      </c>
      <c r="B48" t="s">
        <v>531</v>
      </c>
      <c r="C48" t="s">
        <v>15</v>
      </c>
      <c r="D48" s="684">
        <v>2</v>
      </c>
      <c r="E48" s="684">
        <v>3</v>
      </c>
      <c r="F48" t="s">
        <v>20</v>
      </c>
      <c r="G48" s="684">
        <v>1.0629</v>
      </c>
      <c r="H48" s="684">
        <v>43.21</v>
      </c>
      <c r="I48" t="s">
        <v>699</v>
      </c>
    </row>
    <row r="49" spans="1:9">
      <c r="A49" s="177">
        <v>44743</v>
      </c>
      <c r="B49" t="s">
        <v>531</v>
      </c>
      <c r="C49" t="s">
        <v>15</v>
      </c>
      <c r="D49" s="684">
        <v>2</v>
      </c>
      <c r="E49" s="684">
        <v>3</v>
      </c>
      <c r="F49" t="s">
        <v>21</v>
      </c>
      <c r="G49" s="684">
        <v>1</v>
      </c>
      <c r="H49" s="684">
        <v>40.65</v>
      </c>
      <c r="I49" t="s">
        <v>699</v>
      </c>
    </row>
    <row r="50" spans="1:9">
      <c r="A50" s="177">
        <v>44743</v>
      </c>
      <c r="B50" t="s">
        <v>532</v>
      </c>
      <c r="C50" t="s">
        <v>15</v>
      </c>
      <c r="D50" s="684">
        <v>2</v>
      </c>
      <c r="E50" s="684">
        <v>4</v>
      </c>
      <c r="F50" t="s">
        <v>16</v>
      </c>
      <c r="G50" s="684">
        <v>1</v>
      </c>
      <c r="H50" s="684">
        <v>46.9</v>
      </c>
      <c r="I50" t="s">
        <v>699</v>
      </c>
    </row>
    <row r="51" spans="1:9">
      <c r="A51" s="177">
        <v>44743</v>
      </c>
      <c r="B51" t="s">
        <v>532</v>
      </c>
      <c r="C51" t="s">
        <v>15</v>
      </c>
      <c r="D51" s="684">
        <v>2</v>
      </c>
      <c r="E51" s="684">
        <v>4</v>
      </c>
      <c r="F51" t="s">
        <v>17</v>
      </c>
      <c r="G51" s="684">
        <v>1.0789</v>
      </c>
      <c r="H51" s="684">
        <v>50.6</v>
      </c>
      <c r="I51" t="s">
        <v>699</v>
      </c>
    </row>
    <row r="52" spans="1:9">
      <c r="A52" s="177">
        <v>44743</v>
      </c>
      <c r="B52" t="s">
        <v>532</v>
      </c>
      <c r="C52" t="s">
        <v>15</v>
      </c>
      <c r="D52" s="684">
        <v>2</v>
      </c>
      <c r="E52" s="684">
        <v>4</v>
      </c>
      <c r="F52" t="s">
        <v>18</v>
      </c>
      <c r="G52" s="684">
        <v>1</v>
      </c>
      <c r="H52" s="684">
        <v>46.9</v>
      </c>
      <c r="I52" t="s">
        <v>699</v>
      </c>
    </row>
    <row r="53" spans="1:9">
      <c r="A53" s="177">
        <v>44743</v>
      </c>
      <c r="B53" t="s">
        <v>532</v>
      </c>
      <c r="C53" t="s">
        <v>15</v>
      </c>
      <c r="D53" s="684">
        <v>2</v>
      </c>
      <c r="E53" s="684">
        <v>4</v>
      </c>
      <c r="F53" t="s">
        <v>19</v>
      </c>
      <c r="G53" s="684">
        <v>1</v>
      </c>
      <c r="H53" s="684">
        <v>46.9</v>
      </c>
      <c r="I53" t="s">
        <v>699</v>
      </c>
    </row>
    <row r="54" spans="1:9">
      <c r="A54" s="177">
        <v>44743</v>
      </c>
      <c r="B54" t="s">
        <v>532</v>
      </c>
      <c r="C54" t="s">
        <v>15</v>
      </c>
      <c r="D54" s="684">
        <v>2</v>
      </c>
      <c r="E54" s="684">
        <v>4</v>
      </c>
      <c r="F54" t="s">
        <v>20</v>
      </c>
      <c r="G54" s="684">
        <v>1.0629</v>
      </c>
      <c r="H54" s="684">
        <v>49.85</v>
      </c>
      <c r="I54" t="s">
        <v>699</v>
      </c>
    </row>
    <row r="55" spans="1:9">
      <c r="A55" s="177">
        <v>44743</v>
      </c>
      <c r="B55" t="s">
        <v>532</v>
      </c>
      <c r="C55" t="s">
        <v>15</v>
      </c>
      <c r="D55" s="684">
        <v>2</v>
      </c>
      <c r="E55" s="684">
        <v>4</v>
      </c>
      <c r="F55" t="s">
        <v>21</v>
      </c>
      <c r="G55" s="684">
        <v>1</v>
      </c>
      <c r="H55" s="684">
        <v>46.9</v>
      </c>
      <c r="I55" t="s">
        <v>699</v>
      </c>
    </row>
    <row r="56" spans="1:9">
      <c r="A56" s="177">
        <v>44743</v>
      </c>
      <c r="B56" t="s">
        <v>533</v>
      </c>
      <c r="C56" t="s">
        <v>15</v>
      </c>
      <c r="D56" s="684">
        <v>2</v>
      </c>
      <c r="E56" s="684">
        <v>5</v>
      </c>
      <c r="F56" t="s">
        <v>16</v>
      </c>
      <c r="G56" s="684">
        <v>1</v>
      </c>
      <c r="H56" s="684">
        <v>52.46</v>
      </c>
      <c r="I56" t="s">
        <v>699</v>
      </c>
    </row>
    <row r="57" spans="1:9">
      <c r="A57" s="177">
        <v>44743</v>
      </c>
      <c r="B57" t="s">
        <v>533</v>
      </c>
      <c r="C57" t="s">
        <v>15</v>
      </c>
      <c r="D57" s="684">
        <v>2</v>
      </c>
      <c r="E57" s="684">
        <v>5</v>
      </c>
      <c r="F57" t="s">
        <v>17</v>
      </c>
      <c r="G57" s="684">
        <v>1.0789</v>
      </c>
      <c r="H57" s="684">
        <v>56.6</v>
      </c>
      <c r="I57" t="s">
        <v>699</v>
      </c>
    </row>
    <row r="58" spans="1:9">
      <c r="A58" s="177">
        <v>44743</v>
      </c>
      <c r="B58" t="s">
        <v>533</v>
      </c>
      <c r="C58" t="s">
        <v>15</v>
      </c>
      <c r="D58" s="684">
        <v>2</v>
      </c>
      <c r="E58" s="684">
        <v>5</v>
      </c>
      <c r="F58" t="s">
        <v>18</v>
      </c>
      <c r="G58" s="684">
        <v>1</v>
      </c>
      <c r="H58" s="684">
        <v>52.46</v>
      </c>
      <c r="I58" t="s">
        <v>699</v>
      </c>
    </row>
    <row r="59" spans="1:9">
      <c r="A59" s="177">
        <v>44743</v>
      </c>
      <c r="B59" t="s">
        <v>533</v>
      </c>
      <c r="C59" t="s">
        <v>15</v>
      </c>
      <c r="D59" s="684">
        <v>2</v>
      </c>
      <c r="E59" s="684">
        <v>5</v>
      </c>
      <c r="F59" t="s">
        <v>19</v>
      </c>
      <c r="G59" s="684">
        <v>1</v>
      </c>
      <c r="H59" s="684">
        <v>52.46</v>
      </c>
      <c r="I59" t="s">
        <v>699</v>
      </c>
    </row>
    <row r="60" spans="1:9">
      <c r="A60" s="177">
        <v>44743</v>
      </c>
      <c r="B60" t="s">
        <v>533</v>
      </c>
      <c r="C60" t="s">
        <v>15</v>
      </c>
      <c r="D60" s="684">
        <v>2</v>
      </c>
      <c r="E60" s="684">
        <v>5</v>
      </c>
      <c r="F60" t="s">
        <v>20</v>
      </c>
      <c r="G60" s="684">
        <v>1.0629</v>
      </c>
      <c r="H60" s="684">
        <v>55.76</v>
      </c>
      <c r="I60" t="s">
        <v>699</v>
      </c>
    </row>
    <row r="61" spans="1:9">
      <c r="A61" s="177">
        <v>44743</v>
      </c>
      <c r="B61" t="s">
        <v>533</v>
      </c>
      <c r="C61" t="s">
        <v>15</v>
      </c>
      <c r="D61" s="684">
        <v>2</v>
      </c>
      <c r="E61" s="684">
        <v>5</v>
      </c>
      <c r="F61" t="s">
        <v>21</v>
      </c>
      <c r="G61" s="684">
        <v>1</v>
      </c>
      <c r="H61" s="684">
        <v>52.46</v>
      </c>
      <c r="I61" t="s">
        <v>699</v>
      </c>
    </row>
    <row r="62" spans="1:9">
      <c r="A62" s="177">
        <v>44743</v>
      </c>
      <c r="B62" t="s">
        <v>534</v>
      </c>
      <c r="C62" t="s">
        <v>15</v>
      </c>
      <c r="D62" s="684">
        <v>3</v>
      </c>
      <c r="E62" s="684">
        <v>1</v>
      </c>
      <c r="F62" t="s">
        <v>16</v>
      </c>
      <c r="G62" s="684">
        <v>1</v>
      </c>
      <c r="H62" s="684">
        <v>43.58</v>
      </c>
      <c r="I62" t="s">
        <v>699</v>
      </c>
    </row>
    <row r="63" spans="1:9">
      <c r="A63" s="177">
        <v>44743</v>
      </c>
      <c r="B63" t="s">
        <v>534</v>
      </c>
      <c r="C63" t="s">
        <v>15</v>
      </c>
      <c r="D63" s="684">
        <v>3</v>
      </c>
      <c r="E63" s="684">
        <v>1</v>
      </c>
      <c r="F63" t="s">
        <v>17</v>
      </c>
      <c r="G63" s="684">
        <v>1.0789</v>
      </c>
      <c r="H63" s="684">
        <v>47.02</v>
      </c>
      <c r="I63" t="s">
        <v>699</v>
      </c>
    </row>
    <row r="64" spans="1:9">
      <c r="A64" s="177">
        <v>44743</v>
      </c>
      <c r="B64" t="s">
        <v>534</v>
      </c>
      <c r="C64" t="s">
        <v>15</v>
      </c>
      <c r="D64" s="684">
        <v>3</v>
      </c>
      <c r="E64" s="684">
        <v>1</v>
      </c>
      <c r="F64" t="s">
        <v>18</v>
      </c>
      <c r="G64" s="684">
        <v>1</v>
      </c>
      <c r="H64" s="684">
        <v>43.58</v>
      </c>
      <c r="I64" t="s">
        <v>699</v>
      </c>
    </row>
    <row r="65" spans="1:9">
      <c r="A65" s="177">
        <v>44743</v>
      </c>
      <c r="B65" t="s">
        <v>534</v>
      </c>
      <c r="C65" t="s">
        <v>15</v>
      </c>
      <c r="D65" s="684">
        <v>3</v>
      </c>
      <c r="E65" s="684">
        <v>1</v>
      </c>
      <c r="F65" t="s">
        <v>19</v>
      </c>
      <c r="G65" s="684">
        <v>1</v>
      </c>
      <c r="H65" s="684">
        <v>43.58</v>
      </c>
      <c r="I65" t="s">
        <v>699</v>
      </c>
    </row>
    <row r="66" spans="1:9">
      <c r="A66" s="177">
        <v>44743</v>
      </c>
      <c r="B66" t="s">
        <v>534</v>
      </c>
      <c r="C66" t="s">
        <v>15</v>
      </c>
      <c r="D66" s="684">
        <v>3</v>
      </c>
      <c r="E66" s="684">
        <v>1</v>
      </c>
      <c r="F66" t="s">
        <v>20</v>
      </c>
      <c r="G66" s="684">
        <v>1.0629</v>
      </c>
      <c r="H66" s="684">
        <v>46.32</v>
      </c>
      <c r="I66" t="s">
        <v>699</v>
      </c>
    </row>
    <row r="67" spans="1:9">
      <c r="A67" s="177">
        <v>44743</v>
      </c>
      <c r="B67" t="s">
        <v>534</v>
      </c>
      <c r="C67" t="s">
        <v>15</v>
      </c>
      <c r="D67" s="684">
        <v>3</v>
      </c>
      <c r="E67" s="684">
        <v>1</v>
      </c>
      <c r="F67" t="s">
        <v>21</v>
      </c>
      <c r="G67" s="684">
        <v>1</v>
      </c>
      <c r="H67" s="684">
        <v>43.58</v>
      </c>
      <c r="I67" t="s">
        <v>699</v>
      </c>
    </row>
    <row r="68" spans="1:9">
      <c r="A68" s="177">
        <v>44743</v>
      </c>
      <c r="B68" t="s">
        <v>535</v>
      </c>
      <c r="C68" t="s">
        <v>15</v>
      </c>
      <c r="D68" s="684">
        <v>3</v>
      </c>
      <c r="E68" s="684">
        <v>2</v>
      </c>
      <c r="F68" t="s">
        <v>16</v>
      </c>
      <c r="G68" s="684">
        <v>1</v>
      </c>
      <c r="H68" s="684">
        <v>46.48</v>
      </c>
      <c r="I68" t="s">
        <v>699</v>
      </c>
    </row>
    <row r="69" spans="1:9">
      <c r="A69" s="177">
        <v>44743</v>
      </c>
      <c r="B69" t="s">
        <v>535</v>
      </c>
      <c r="C69" t="s">
        <v>15</v>
      </c>
      <c r="D69" s="684">
        <v>3</v>
      </c>
      <c r="E69" s="684">
        <v>2</v>
      </c>
      <c r="F69" t="s">
        <v>17</v>
      </c>
      <c r="G69" s="684">
        <v>1.0789</v>
      </c>
      <c r="H69" s="684">
        <v>50.15</v>
      </c>
      <c r="I69" t="s">
        <v>699</v>
      </c>
    </row>
    <row r="70" spans="1:9">
      <c r="A70" s="177">
        <v>44743</v>
      </c>
      <c r="B70" t="s">
        <v>535</v>
      </c>
      <c r="C70" t="s">
        <v>15</v>
      </c>
      <c r="D70" s="684">
        <v>3</v>
      </c>
      <c r="E70" s="684">
        <v>2</v>
      </c>
      <c r="F70" t="s">
        <v>18</v>
      </c>
      <c r="G70" s="684">
        <v>1</v>
      </c>
      <c r="H70" s="684">
        <v>46.48</v>
      </c>
      <c r="I70" t="s">
        <v>699</v>
      </c>
    </row>
    <row r="71" spans="1:9">
      <c r="A71" s="177">
        <v>44743</v>
      </c>
      <c r="B71" t="s">
        <v>535</v>
      </c>
      <c r="C71" t="s">
        <v>15</v>
      </c>
      <c r="D71" s="684">
        <v>3</v>
      </c>
      <c r="E71" s="684">
        <v>2</v>
      </c>
      <c r="F71" t="s">
        <v>19</v>
      </c>
      <c r="G71" s="684">
        <v>1</v>
      </c>
      <c r="H71" s="684">
        <v>46.48</v>
      </c>
      <c r="I71" t="s">
        <v>699</v>
      </c>
    </row>
    <row r="72" spans="1:9">
      <c r="A72" s="177">
        <v>44743</v>
      </c>
      <c r="B72" t="s">
        <v>535</v>
      </c>
      <c r="C72" t="s">
        <v>15</v>
      </c>
      <c r="D72" s="684">
        <v>3</v>
      </c>
      <c r="E72" s="684">
        <v>2</v>
      </c>
      <c r="F72" t="s">
        <v>20</v>
      </c>
      <c r="G72" s="684">
        <v>1.0629</v>
      </c>
      <c r="H72" s="684">
        <v>49.4</v>
      </c>
      <c r="I72" t="s">
        <v>699</v>
      </c>
    </row>
    <row r="73" spans="1:9">
      <c r="A73" s="177">
        <v>44743</v>
      </c>
      <c r="B73" t="s">
        <v>535</v>
      </c>
      <c r="C73" t="s">
        <v>15</v>
      </c>
      <c r="D73" s="684">
        <v>3</v>
      </c>
      <c r="E73" s="684">
        <v>2</v>
      </c>
      <c r="F73" t="s">
        <v>21</v>
      </c>
      <c r="G73" s="684">
        <v>1</v>
      </c>
      <c r="H73" s="684">
        <v>46.48</v>
      </c>
      <c r="I73" t="s">
        <v>699</v>
      </c>
    </row>
    <row r="74" spans="1:9">
      <c r="A74" s="177">
        <v>44743</v>
      </c>
      <c r="B74" t="s">
        <v>536</v>
      </c>
      <c r="C74" t="s">
        <v>15</v>
      </c>
      <c r="D74" s="684">
        <v>3</v>
      </c>
      <c r="E74" s="684">
        <v>3</v>
      </c>
      <c r="F74" t="s">
        <v>16</v>
      </c>
      <c r="G74" s="684">
        <v>1</v>
      </c>
      <c r="H74" s="684">
        <v>51.15</v>
      </c>
      <c r="I74" t="s">
        <v>699</v>
      </c>
    </row>
    <row r="75" spans="1:9">
      <c r="A75" s="177">
        <v>44743</v>
      </c>
      <c r="B75" t="s">
        <v>536</v>
      </c>
      <c r="C75" t="s">
        <v>15</v>
      </c>
      <c r="D75" s="684">
        <v>3</v>
      </c>
      <c r="E75" s="684">
        <v>3</v>
      </c>
      <c r="F75" t="s">
        <v>17</v>
      </c>
      <c r="G75" s="684">
        <v>1.0789</v>
      </c>
      <c r="H75" s="684">
        <v>55.19</v>
      </c>
      <c r="I75" t="s">
        <v>699</v>
      </c>
    </row>
    <row r="76" spans="1:9">
      <c r="A76" s="177">
        <v>44743</v>
      </c>
      <c r="B76" t="s">
        <v>536</v>
      </c>
      <c r="C76" t="s">
        <v>15</v>
      </c>
      <c r="D76" s="684">
        <v>3</v>
      </c>
      <c r="E76" s="684">
        <v>3</v>
      </c>
      <c r="F76" t="s">
        <v>18</v>
      </c>
      <c r="G76" s="684">
        <v>1</v>
      </c>
      <c r="H76" s="684">
        <v>51.15</v>
      </c>
      <c r="I76" t="s">
        <v>699</v>
      </c>
    </row>
    <row r="77" spans="1:9">
      <c r="A77" s="177">
        <v>44743</v>
      </c>
      <c r="B77" t="s">
        <v>536</v>
      </c>
      <c r="C77" t="s">
        <v>15</v>
      </c>
      <c r="D77" s="684">
        <v>3</v>
      </c>
      <c r="E77" s="684">
        <v>3</v>
      </c>
      <c r="F77" t="s">
        <v>19</v>
      </c>
      <c r="G77" s="684">
        <v>1</v>
      </c>
      <c r="H77" s="684">
        <v>51.15</v>
      </c>
      <c r="I77" t="s">
        <v>699</v>
      </c>
    </row>
    <row r="78" spans="1:9">
      <c r="A78" s="177">
        <v>44743</v>
      </c>
      <c r="B78" t="s">
        <v>536</v>
      </c>
      <c r="C78" t="s">
        <v>15</v>
      </c>
      <c r="D78" s="684">
        <v>3</v>
      </c>
      <c r="E78" s="684">
        <v>3</v>
      </c>
      <c r="F78" t="s">
        <v>20</v>
      </c>
      <c r="G78" s="684">
        <v>1.0629</v>
      </c>
      <c r="H78" s="684">
        <v>54.37</v>
      </c>
      <c r="I78" t="s">
        <v>699</v>
      </c>
    </row>
    <row r="79" spans="1:9">
      <c r="A79" s="177">
        <v>44743</v>
      </c>
      <c r="B79" t="s">
        <v>536</v>
      </c>
      <c r="C79" t="s">
        <v>15</v>
      </c>
      <c r="D79" s="684">
        <v>3</v>
      </c>
      <c r="E79" s="684">
        <v>3</v>
      </c>
      <c r="F79" t="s">
        <v>21</v>
      </c>
      <c r="G79" s="684">
        <v>1</v>
      </c>
      <c r="H79" s="684">
        <v>51.15</v>
      </c>
      <c r="I79" t="s">
        <v>699</v>
      </c>
    </row>
    <row r="80" spans="1:9">
      <c r="A80" s="177">
        <v>44743</v>
      </c>
      <c r="B80" t="s">
        <v>537</v>
      </c>
      <c r="C80" t="s">
        <v>15</v>
      </c>
      <c r="D80" s="684">
        <v>3</v>
      </c>
      <c r="E80" s="684">
        <v>4</v>
      </c>
      <c r="F80" t="s">
        <v>16</v>
      </c>
      <c r="G80" s="684">
        <v>1</v>
      </c>
      <c r="H80" s="684">
        <v>57.42</v>
      </c>
      <c r="I80" t="s">
        <v>699</v>
      </c>
    </row>
    <row r="81" spans="1:9">
      <c r="A81" s="177">
        <v>44743</v>
      </c>
      <c r="B81" t="s">
        <v>537</v>
      </c>
      <c r="C81" t="s">
        <v>15</v>
      </c>
      <c r="D81" s="684">
        <v>3</v>
      </c>
      <c r="E81" s="684">
        <v>4</v>
      </c>
      <c r="F81" t="s">
        <v>17</v>
      </c>
      <c r="G81" s="684">
        <v>1.0789</v>
      </c>
      <c r="H81" s="684">
        <v>61.95</v>
      </c>
      <c r="I81" t="s">
        <v>699</v>
      </c>
    </row>
    <row r="82" spans="1:9">
      <c r="A82" s="177">
        <v>44743</v>
      </c>
      <c r="B82" t="s">
        <v>537</v>
      </c>
      <c r="C82" t="s">
        <v>15</v>
      </c>
      <c r="D82" s="684">
        <v>3</v>
      </c>
      <c r="E82" s="684">
        <v>4</v>
      </c>
      <c r="F82" t="s">
        <v>18</v>
      </c>
      <c r="G82" s="684">
        <v>1</v>
      </c>
      <c r="H82" s="684">
        <v>57.42</v>
      </c>
      <c r="I82" t="s">
        <v>699</v>
      </c>
    </row>
    <row r="83" spans="1:9">
      <c r="A83" s="177">
        <v>44743</v>
      </c>
      <c r="B83" t="s">
        <v>537</v>
      </c>
      <c r="C83" t="s">
        <v>15</v>
      </c>
      <c r="D83" s="684">
        <v>3</v>
      </c>
      <c r="E83" s="684">
        <v>4</v>
      </c>
      <c r="F83" t="s">
        <v>19</v>
      </c>
      <c r="G83" s="684">
        <v>1</v>
      </c>
      <c r="H83" s="684">
        <v>57.42</v>
      </c>
      <c r="I83" t="s">
        <v>699</v>
      </c>
    </row>
    <row r="84" spans="1:9">
      <c r="A84" s="177">
        <v>44743</v>
      </c>
      <c r="B84" t="s">
        <v>537</v>
      </c>
      <c r="C84" t="s">
        <v>15</v>
      </c>
      <c r="D84" s="684">
        <v>3</v>
      </c>
      <c r="E84" s="684">
        <v>4</v>
      </c>
      <c r="F84" t="s">
        <v>20</v>
      </c>
      <c r="G84" s="684">
        <v>1.0629</v>
      </c>
      <c r="H84" s="684">
        <v>61.03</v>
      </c>
      <c r="I84" t="s">
        <v>699</v>
      </c>
    </row>
    <row r="85" spans="1:9">
      <c r="A85" s="177">
        <v>44743</v>
      </c>
      <c r="B85" t="s">
        <v>537</v>
      </c>
      <c r="C85" t="s">
        <v>15</v>
      </c>
      <c r="D85" s="684">
        <v>3</v>
      </c>
      <c r="E85" s="684">
        <v>4</v>
      </c>
      <c r="F85" t="s">
        <v>21</v>
      </c>
      <c r="G85" s="684">
        <v>1</v>
      </c>
      <c r="H85" s="684">
        <v>57.42</v>
      </c>
      <c r="I85" t="s">
        <v>699</v>
      </c>
    </row>
    <row r="86" spans="1:9">
      <c r="A86" s="177">
        <v>44743</v>
      </c>
      <c r="B86" t="s">
        <v>538</v>
      </c>
      <c r="C86" t="s">
        <v>15</v>
      </c>
      <c r="D86" s="684">
        <v>3</v>
      </c>
      <c r="E86" s="684">
        <v>5</v>
      </c>
      <c r="F86" t="s">
        <v>16</v>
      </c>
      <c r="G86" s="684">
        <v>1</v>
      </c>
      <c r="H86" s="684">
        <v>62.97</v>
      </c>
      <c r="I86" t="s">
        <v>699</v>
      </c>
    </row>
    <row r="87" spans="1:9">
      <c r="A87" s="177">
        <v>44743</v>
      </c>
      <c r="B87" t="s">
        <v>538</v>
      </c>
      <c r="C87" t="s">
        <v>15</v>
      </c>
      <c r="D87" s="684">
        <v>3</v>
      </c>
      <c r="E87" s="684">
        <v>5</v>
      </c>
      <c r="F87" t="s">
        <v>17</v>
      </c>
      <c r="G87" s="684">
        <v>1.0789</v>
      </c>
      <c r="H87" s="684">
        <v>67.94</v>
      </c>
      <c r="I87" t="s">
        <v>699</v>
      </c>
    </row>
    <row r="88" spans="1:9">
      <c r="A88" s="177">
        <v>44743</v>
      </c>
      <c r="B88" t="s">
        <v>538</v>
      </c>
      <c r="C88" t="s">
        <v>15</v>
      </c>
      <c r="D88" s="684">
        <v>3</v>
      </c>
      <c r="E88" s="684">
        <v>5</v>
      </c>
      <c r="F88" t="s">
        <v>18</v>
      </c>
      <c r="G88" s="684">
        <v>1</v>
      </c>
      <c r="H88" s="684">
        <v>62.97</v>
      </c>
      <c r="I88" t="s">
        <v>699</v>
      </c>
    </row>
    <row r="89" spans="1:9">
      <c r="A89" s="177">
        <v>44743</v>
      </c>
      <c r="B89" t="s">
        <v>538</v>
      </c>
      <c r="C89" t="s">
        <v>15</v>
      </c>
      <c r="D89" s="684">
        <v>3</v>
      </c>
      <c r="E89" s="684">
        <v>5</v>
      </c>
      <c r="F89" t="s">
        <v>19</v>
      </c>
      <c r="G89" s="684">
        <v>1</v>
      </c>
      <c r="H89" s="684">
        <v>62.97</v>
      </c>
      <c r="I89" t="s">
        <v>699</v>
      </c>
    </row>
    <row r="90" spans="1:9">
      <c r="A90" s="177">
        <v>44743</v>
      </c>
      <c r="B90" t="s">
        <v>538</v>
      </c>
      <c r="C90" t="s">
        <v>15</v>
      </c>
      <c r="D90" s="684">
        <v>3</v>
      </c>
      <c r="E90" s="684">
        <v>5</v>
      </c>
      <c r="F90" t="s">
        <v>20</v>
      </c>
      <c r="G90" s="684">
        <v>1.0629</v>
      </c>
      <c r="H90" s="684">
        <v>66.930000000000007</v>
      </c>
      <c r="I90" t="s">
        <v>699</v>
      </c>
    </row>
    <row r="91" spans="1:9">
      <c r="A91" s="177">
        <v>44743</v>
      </c>
      <c r="B91" t="s">
        <v>538</v>
      </c>
      <c r="C91" t="s">
        <v>15</v>
      </c>
      <c r="D91" s="684">
        <v>3</v>
      </c>
      <c r="E91" s="684">
        <v>5</v>
      </c>
      <c r="F91" t="s">
        <v>21</v>
      </c>
      <c r="G91" s="684">
        <v>1</v>
      </c>
      <c r="H91" s="684">
        <v>62.97</v>
      </c>
      <c r="I91" t="s">
        <v>699</v>
      </c>
    </row>
    <row r="92" spans="1:9">
      <c r="A92" s="177">
        <v>44743</v>
      </c>
      <c r="B92" t="s">
        <v>539</v>
      </c>
      <c r="C92" t="s">
        <v>15</v>
      </c>
      <c r="D92" s="684">
        <v>4</v>
      </c>
      <c r="E92" s="684">
        <v>1</v>
      </c>
      <c r="F92" t="s">
        <v>16</v>
      </c>
      <c r="G92" s="684">
        <v>1</v>
      </c>
      <c r="H92" s="684">
        <v>54.37</v>
      </c>
      <c r="I92" t="s">
        <v>699</v>
      </c>
    </row>
    <row r="93" spans="1:9">
      <c r="A93" s="177">
        <v>44743</v>
      </c>
      <c r="B93" t="s">
        <v>539</v>
      </c>
      <c r="C93" t="s">
        <v>15</v>
      </c>
      <c r="D93" s="684">
        <v>4</v>
      </c>
      <c r="E93" s="684">
        <v>1</v>
      </c>
      <c r="F93" t="s">
        <v>17</v>
      </c>
      <c r="G93" s="684">
        <v>1.0789</v>
      </c>
      <c r="H93" s="684">
        <v>58.66</v>
      </c>
      <c r="I93" t="s">
        <v>699</v>
      </c>
    </row>
    <row r="94" spans="1:9">
      <c r="A94" s="177">
        <v>44743</v>
      </c>
      <c r="B94" t="s">
        <v>539</v>
      </c>
      <c r="C94" t="s">
        <v>15</v>
      </c>
      <c r="D94" s="684">
        <v>4</v>
      </c>
      <c r="E94" s="684">
        <v>1</v>
      </c>
      <c r="F94" t="s">
        <v>18</v>
      </c>
      <c r="G94" s="684">
        <v>1</v>
      </c>
      <c r="H94" s="684">
        <v>54.37</v>
      </c>
      <c r="I94" t="s">
        <v>699</v>
      </c>
    </row>
    <row r="95" spans="1:9">
      <c r="A95" s="177">
        <v>44743</v>
      </c>
      <c r="B95" t="s">
        <v>539</v>
      </c>
      <c r="C95" t="s">
        <v>15</v>
      </c>
      <c r="D95" s="684">
        <v>4</v>
      </c>
      <c r="E95" s="684">
        <v>1</v>
      </c>
      <c r="F95" t="s">
        <v>19</v>
      </c>
      <c r="G95" s="684">
        <v>1</v>
      </c>
      <c r="H95" s="684">
        <v>54.37</v>
      </c>
      <c r="I95" t="s">
        <v>699</v>
      </c>
    </row>
    <row r="96" spans="1:9">
      <c r="A96" s="177">
        <v>44743</v>
      </c>
      <c r="B96" t="s">
        <v>539</v>
      </c>
      <c r="C96" t="s">
        <v>15</v>
      </c>
      <c r="D96" s="684">
        <v>4</v>
      </c>
      <c r="E96" s="684">
        <v>1</v>
      </c>
      <c r="F96" t="s">
        <v>20</v>
      </c>
      <c r="G96" s="684">
        <v>1.0629</v>
      </c>
      <c r="H96" s="684">
        <v>57.79</v>
      </c>
      <c r="I96" t="s">
        <v>699</v>
      </c>
    </row>
    <row r="97" spans="1:9">
      <c r="A97" s="177">
        <v>44743</v>
      </c>
      <c r="B97" t="s">
        <v>539</v>
      </c>
      <c r="C97" t="s">
        <v>15</v>
      </c>
      <c r="D97" s="684">
        <v>4</v>
      </c>
      <c r="E97" s="684">
        <v>1</v>
      </c>
      <c r="F97" t="s">
        <v>21</v>
      </c>
      <c r="G97" s="684">
        <v>1</v>
      </c>
      <c r="H97" s="684">
        <v>54.37</v>
      </c>
      <c r="I97" t="s">
        <v>699</v>
      </c>
    </row>
    <row r="98" spans="1:9">
      <c r="A98" s="177">
        <v>44743</v>
      </c>
      <c r="B98" t="s">
        <v>540</v>
      </c>
      <c r="C98" t="s">
        <v>15</v>
      </c>
      <c r="D98" s="684">
        <v>4</v>
      </c>
      <c r="E98" s="684">
        <v>2</v>
      </c>
      <c r="F98" t="s">
        <v>16</v>
      </c>
      <c r="G98" s="684">
        <v>1</v>
      </c>
      <c r="H98" s="684">
        <v>57.27</v>
      </c>
      <c r="I98" t="s">
        <v>699</v>
      </c>
    </row>
    <row r="99" spans="1:9">
      <c r="A99" s="177">
        <v>44743</v>
      </c>
      <c r="B99" t="s">
        <v>540</v>
      </c>
      <c r="C99" t="s">
        <v>15</v>
      </c>
      <c r="D99" s="684">
        <v>4</v>
      </c>
      <c r="E99" s="684">
        <v>2</v>
      </c>
      <c r="F99" t="s">
        <v>17</v>
      </c>
      <c r="G99" s="684">
        <v>1.0789</v>
      </c>
      <c r="H99" s="684">
        <v>61.79</v>
      </c>
      <c r="I99" t="s">
        <v>699</v>
      </c>
    </row>
    <row r="100" spans="1:9">
      <c r="A100" s="177">
        <v>44743</v>
      </c>
      <c r="B100" t="s">
        <v>540</v>
      </c>
      <c r="C100" t="s">
        <v>15</v>
      </c>
      <c r="D100" s="684">
        <v>4</v>
      </c>
      <c r="E100" s="684">
        <v>2</v>
      </c>
      <c r="F100" t="s">
        <v>18</v>
      </c>
      <c r="G100" s="684">
        <v>1</v>
      </c>
      <c r="H100" s="684">
        <v>57.27</v>
      </c>
      <c r="I100" t="s">
        <v>699</v>
      </c>
    </row>
    <row r="101" spans="1:9">
      <c r="A101" s="177">
        <v>44743</v>
      </c>
      <c r="B101" t="s">
        <v>540</v>
      </c>
      <c r="C101" t="s">
        <v>15</v>
      </c>
      <c r="D101" s="684">
        <v>4</v>
      </c>
      <c r="E101" s="684">
        <v>2</v>
      </c>
      <c r="F101" t="s">
        <v>19</v>
      </c>
      <c r="G101" s="684">
        <v>1</v>
      </c>
      <c r="H101" s="684">
        <v>57.27</v>
      </c>
      <c r="I101" t="s">
        <v>699</v>
      </c>
    </row>
    <row r="102" spans="1:9">
      <c r="A102" s="177">
        <v>44743</v>
      </c>
      <c r="B102" t="s">
        <v>540</v>
      </c>
      <c r="C102" t="s">
        <v>15</v>
      </c>
      <c r="D102" s="684">
        <v>4</v>
      </c>
      <c r="E102" s="684">
        <v>2</v>
      </c>
      <c r="F102" t="s">
        <v>20</v>
      </c>
      <c r="G102" s="684">
        <v>1.0629</v>
      </c>
      <c r="H102" s="684">
        <v>60.87</v>
      </c>
      <c r="I102" t="s">
        <v>699</v>
      </c>
    </row>
    <row r="103" spans="1:9">
      <c r="A103" s="177">
        <v>44743</v>
      </c>
      <c r="B103" t="s">
        <v>540</v>
      </c>
      <c r="C103" t="s">
        <v>15</v>
      </c>
      <c r="D103" s="684">
        <v>4</v>
      </c>
      <c r="E103" s="684">
        <v>2</v>
      </c>
      <c r="F103" t="s">
        <v>21</v>
      </c>
      <c r="G103" s="684">
        <v>1</v>
      </c>
      <c r="H103" s="684">
        <v>57.27</v>
      </c>
      <c r="I103" t="s">
        <v>699</v>
      </c>
    </row>
    <row r="104" spans="1:9">
      <c r="A104" s="177">
        <v>44743</v>
      </c>
      <c r="B104" t="s">
        <v>541</v>
      </c>
      <c r="C104" t="s">
        <v>15</v>
      </c>
      <c r="D104" s="684">
        <v>4</v>
      </c>
      <c r="E104" s="684">
        <v>3</v>
      </c>
      <c r="F104" t="s">
        <v>16</v>
      </c>
      <c r="G104" s="684">
        <v>1</v>
      </c>
      <c r="H104" s="684">
        <v>61.94</v>
      </c>
      <c r="I104" t="s">
        <v>699</v>
      </c>
    </row>
    <row r="105" spans="1:9">
      <c r="A105" s="177">
        <v>44743</v>
      </c>
      <c r="B105" t="s">
        <v>541</v>
      </c>
      <c r="C105" t="s">
        <v>15</v>
      </c>
      <c r="D105" s="684">
        <v>4</v>
      </c>
      <c r="E105" s="684">
        <v>3</v>
      </c>
      <c r="F105" t="s">
        <v>17</v>
      </c>
      <c r="G105" s="684">
        <v>1.0789</v>
      </c>
      <c r="H105" s="684">
        <v>66.83</v>
      </c>
      <c r="I105" t="s">
        <v>699</v>
      </c>
    </row>
    <row r="106" spans="1:9">
      <c r="A106" s="177">
        <v>44743</v>
      </c>
      <c r="B106" t="s">
        <v>541</v>
      </c>
      <c r="C106" t="s">
        <v>15</v>
      </c>
      <c r="D106" s="684">
        <v>4</v>
      </c>
      <c r="E106" s="684">
        <v>3</v>
      </c>
      <c r="F106" t="s">
        <v>18</v>
      </c>
      <c r="G106" s="684">
        <v>1</v>
      </c>
      <c r="H106" s="684">
        <v>61.94</v>
      </c>
      <c r="I106" t="s">
        <v>699</v>
      </c>
    </row>
    <row r="107" spans="1:9">
      <c r="A107" s="177">
        <v>44743</v>
      </c>
      <c r="B107" t="s">
        <v>541</v>
      </c>
      <c r="C107" t="s">
        <v>15</v>
      </c>
      <c r="D107" s="684">
        <v>4</v>
      </c>
      <c r="E107" s="684">
        <v>3</v>
      </c>
      <c r="F107" t="s">
        <v>19</v>
      </c>
      <c r="G107" s="684">
        <v>1</v>
      </c>
      <c r="H107" s="684">
        <v>61.94</v>
      </c>
      <c r="I107" t="s">
        <v>699</v>
      </c>
    </row>
    <row r="108" spans="1:9">
      <c r="A108" s="177">
        <v>44743</v>
      </c>
      <c r="B108" t="s">
        <v>541</v>
      </c>
      <c r="C108" t="s">
        <v>15</v>
      </c>
      <c r="D108" s="684">
        <v>4</v>
      </c>
      <c r="E108" s="684">
        <v>3</v>
      </c>
      <c r="F108" t="s">
        <v>20</v>
      </c>
      <c r="G108" s="684">
        <v>1.0629</v>
      </c>
      <c r="H108" s="684">
        <v>65.84</v>
      </c>
      <c r="I108" t="s">
        <v>699</v>
      </c>
    </row>
    <row r="109" spans="1:9">
      <c r="A109" s="177">
        <v>44743</v>
      </c>
      <c r="B109" t="s">
        <v>541</v>
      </c>
      <c r="C109" t="s">
        <v>15</v>
      </c>
      <c r="D109" s="684">
        <v>4</v>
      </c>
      <c r="E109" s="684">
        <v>3</v>
      </c>
      <c r="F109" t="s">
        <v>21</v>
      </c>
      <c r="G109" s="684">
        <v>1</v>
      </c>
      <c r="H109" s="684">
        <v>61.94</v>
      </c>
      <c r="I109" t="s">
        <v>699</v>
      </c>
    </row>
    <row r="110" spans="1:9">
      <c r="A110" s="177">
        <v>44743</v>
      </c>
      <c r="B110" t="s">
        <v>542</v>
      </c>
      <c r="C110" t="s">
        <v>15</v>
      </c>
      <c r="D110" s="684">
        <v>4</v>
      </c>
      <c r="E110" s="684">
        <v>4</v>
      </c>
      <c r="F110" t="s">
        <v>16</v>
      </c>
      <c r="G110" s="684">
        <v>1</v>
      </c>
      <c r="H110" s="684">
        <v>68.25</v>
      </c>
      <c r="I110" t="s">
        <v>699</v>
      </c>
    </row>
    <row r="111" spans="1:9">
      <c r="A111" s="177">
        <v>44743</v>
      </c>
      <c r="B111" t="s">
        <v>542</v>
      </c>
      <c r="C111" t="s">
        <v>15</v>
      </c>
      <c r="D111" s="684">
        <v>4</v>
      </c>
      <c r="E111" s="684">
        <v>4</v>
      </c>
      <c r="F111" t="s">
        <v>17</v>
      </c>
      <c r="G111" s="684">
        <v>1.0789</v>
      </c>
      <c r="H111" s="684">
        <v>73.63</v>
      </c>
      <c r="I111" t="s">
        <v>699</v>
      </c>
    </row>
    <row r="112" spans="1:9">
      <c r="A112" s="177">
        <v>44743</v>
      </c>
      <c r="B112" t="s">
        <v>542</v>
      </c>
      <c r="C112" t="s">
        <v>15</v>
      </c>
      <c r="D112" s="684">
        <v>4</v>
      </c>
      <c r="E112" s="684">
        <v>4</v>
      </c>
      <c r="F112" t="s">
        <v>18</v>
      </c>
      <c r="G112" s="684">
        <v>1</v>
      </c>
      <c r="H112" s="684">
        <v>68.25</v>
      </c>
      <c r="I112" t="s">
        <v>699</v>
      </c>
    </row>
    <row r="113" spans="1:9">
      <c r="A113" s="177">
        <v>44743</v>
      </c>
      <c r="B113" t="s">
        <v>542</v>
      </c>
      <c r="C113" t="s">
        <v>15</v>
      </c>
      <c r="D113" s="684">
        <v>4</v>
      </c>
      <c r="E113" s="684">
        <v>4</v>
      </c>
      <c r="F113" t="s">
        <v>19</v>
      </c>
      <c r="G113" s="684">
        <v>1</v>
      </c>
      <c r="H113" s="684">
        <v>68.25</v>
      </c>
      <c r="I113" t="s">
        <v>699</v>
      </c>
    </row>
    <row r="114" spans="1:9">
      <c r="A114" s="177">
        <v>44743</v>
      </c>
      <c r="B114" t="s">
        <v>542</v>
      </c>
      <c r="C114" t="s">
        <v>15</v>
      </c>
      <c r="D114" s="684">
        <v>4</v>
      </c>
      <c r="E114" s="684">
        <v>4</v>
      </c>
      <c r="F114" t="s">
        <v>20</v>
      </c>
      <c r="G114" s="684">
        <v>1.0629</v>
      </c>
      <c r="H114" s="684">
        <v>72.540000000000006</v>
      </c>
      <c r="I114" t="s">
        <v>699</v>
      </c>
    </row>
    <row r="115" spans="1:9">
      <c r="A115" s="177">
        <v>44743</v>
      </c>
      <c r="B115" t="s">
        <v>542</v>
      </c>
      <c r="C115" t="s">
        <v>15</v>
      </c>
      <c r="D115" s="684">
        <v>4</v>
      </c>
      <c r="E115" s="684">
        <v>4</v>
      </c>
      <c r="F115" t="s">
        <v>21</v>
      </c>
      <c r="G115" s="684">
        <v>1</v>
      </c>
      <c r="H115" s="684">
        <v>68.25</v>
      </c>
      <c r="I115" t="s">
        <v>699</v>
      </c>
    </row>
    <row r="116" spans="1:9">
      <c r="A116" s="177">
        <v>44743</v>
      </c>
      <c r="B116" t="s">
        <v>543</v>
      </c>
      <c r="C116" t="s">
        <v>15</v>
      </c>
      <c r="D116" s="684">
        <v>4</v>
      </c>
      <c r="E116" s="684">
        <v>5</v>
      </c>
      <c r="F116" t="s">
        <v>16</v>
      </c>
      <c r="G116" s="684">
        <v>1</v>
      </c>
      <c r="H116" s="684">
        <v>73.77</v>
      </c>
      <c r="I116" t="s">
        <v>699</v>
      </c>
    </row>
    <row r="117" spans="1:9">
      <c r="A117" s="177">
        <v>44743</v>
      </c>
      <c r="B117" t="s">
        <v>543</v>
      </c>
      <c r="C117" t="s">
        <v>15</v>
      </c>
      <c r="D117" s="684">
        <v>4</v>
      </c>
      <c r="E117" s="684">
        <v>5</v>
      </c>
      <c r="F117" t="s">
        <v>17</v>
      </c>
      <c r="G117" s="684">
        <v>1.0789</v>
      </c>
      <c r="H117" s="684">
        <v>79.59</v>
      </c>
      <c r="I117" t="s">
        <v>699</v>
      </c>
    </row>
    <row r="118" spans="1:9">
      <c r="A118" s="177">
        <v>44743</v>
      </c>
      <c r="B118" t="s">
        <v>543</v>
      </c>
      <c r="C118" t="s">
        <v>15</v>
      </c>
      <c r="D118" s="684">
        <v>4</v>
      </c>
      <c r="E118" s="684">
        <v>5</v>
      </c>
      <c r="F118" t="s">
        <v>18</v>
      </c>
      <c r="G118" s="684">
        <v>1</v>
      </c>
      <c r="H118" s="684">
        <v>73.77</v>
      </c>
      <c r="I118" t="s">
        <v>699</v>
      </c>
    </row>
    <row r="119" spans="1:9">
      <c r="A119" s="177">
        <v>44743</v>
      </c>
      <c r="B119" t="s">
        <v>543</v>
      </c>
      <c r="C119" t="s">
        <v>15</v>
      </c>
      <c r="D119" s="684">
        <v>4</v>
      </c>
      <c r="E119" s="684">
        <v>5</v>
      </c>
      <c r="F119" t="s">
        <v>19</v>
      </c>
      <c r="G119" s="684">
        <v>1</v>
      </c>
      <c r="H119" s="684">
        <v>73.77</v>
      </c>
      <c r="I119" t="s">
        <v>699</v>
      </c>
    </row>
    <row r="120" spans="1:9">
      <c r="A120" s="177">
        <v>44743</v>
      </c>
      <c r="B120" t="s">
        <v>543</v>
      </c>
      <c r="C120" t="s">
        <v>15</v>
      </c>
      <c r="D120" s="684">
        <v>4</v>
      </c>
      <c r="E120" s="684">
        <v>5</v>
      </c>
      <c r="F120" t="s">
        <v>20</v>
      </c>
      <c r="G120" s="684">
        <v>1.0629</v>
      </c>
      <c r="H120" s="684">
        <v>78.41</v>
      </c>
      <c r="I120" t="s">
        <v>699</v>
      </c>
    </row>
    <row r="121" spans="1:9">
      <c r="A121" s="177">
        <v>44743</v>
      </c>
      <c r="B121" t="s">
        <v>543</v>
      </c>
      <c r="C121" t="s">
        <v>15</v>
      </c>
      <c r="D121" s="684">
        <v>4</v>
      </c>
      <c r="E121" s="684">
        <v>5</v>
      </c>
      <c r="F121" t="s">
        <v>21</v>
      </c>
      <c r="G121" s="684">
        <v>1</v>
      </c>
      <c r="H121" s="684">
        <v>73.77</v>
      </c>
      <c r="I121" t="s">
        <v>699</v>
      </c>
    </row>
    <row r="122" spans="1:9">
      <c r="A122" s="177">
        <v>44743</v>
      </c>
      <c r="B122" t="s">
        <v>544</v>
      </c>
      <c r="C122" t="s">
        <v>15</v>
      </c>
      <c r="D122" s="684">
        <v>5</v>
      </c>
      <c r="E122" s="684">
        <v>1</v>
      </c>
      <c r="F122" t="s">
        <v>16</v>
      </c>
      <c r="G122" s="684">
        <v>1</v>
      </c>
      <c r="H122" s="684">
        <v>75.709999999999994</v>
      </c>
      <c r="I122" t="s">
        <v>699</v>
      </c>
    </row>
    <row r="123" spans="1:9">
      <c r="A123" s="177">
        <v>44743</v>
      </c>
      <c r="B123" t="s">
        <v>544</v>
      </c>
      <c r="C123" t="s">
        <v>15</v>
      </c>
      <c r="D123" s="684">
        <v>5</v>
      </c>
      <c r="E123" s="684">
        <v>1</v>
      </c>
      <c r="F123" t="s">
        <v>17</v>
      </c>
      <c r="G123" s="684">
        <v>1.0789</v>
      </c>
      <c r="H123" s="684">
        <v>81.680000000000007</v>
      </c>
      <c r="I123" t="s">
        <v>699</v>
      </c>
    </row>
    <row r="124" spans="1:9">
      <c r="A124" s="177">
        <v>44743</v>
      </c>
      <c r="B124" t="s">
        <v>544</v>
      </c>
      <c r="C124" t="s">
        <v>15</v>
      </c>
      <c r="D124" s="684">
        <v>5</v>
      </c>
      <c r="E124" s="684">
        <v>1</v>
      </c>
      <c r="F124" t="s">
        <v>18</v>
      </c>
      <c r="G124" s="684">
        <v>1</v>
      </c>
      <c r="H124" s="684">
        <v>75.709999999999994</v>
      </c>
      <c r="I124" t="s">
        <v>699</v>
      </c>
    </row>
    <row r="125" spans="1:9">
      <c r="A125" s="177">
        <v>44743</v>
      </c>
      <c r="B125" t="s">
        <v>544</v>
      </c>
      <c r="C125" t="s">
        <v>15</v>
      </c>
      <c r="D125" s="684">
        <v>5</v>
      </c>
      <c r="E125" s="684">
        <v>1</v>
      </c>
      <c r="F125" t="s">
        <v>19</v>
      </c>
      <c r="G125" s="684">
        <v>1</v>
      </c>
      <c r="H125" s="684">
        <v>75.709999999999994</v>
      </c>
      <c r="I125" t="s">
        <v>699</v>
      </c>
    </row>
    <row r="126" spans="1:9">
      <c r="A126" s="177">
        <v>44743</v>
      </c>
      <c r="B126" t="s">
        <v>544</v>
      </c>
      <c r="C126" t="s">
        <v>15</v>
      </c>
      <c r="D126" s="684">
        <v>5</v>
      </c>
      <c r="E126" s="684">
        <v>1</v>
      </c>
      <c r="F126" t="s">
        <v>20</v>
      </c>
      <c r="G126" s="684">
        <v>1.0629</v>
      </c>
      <c r="H126" s="684">
        <v>80.47</v>
      </c>
      <c r="I126" t="s">
        <v>699</v>
      </c>
    </row>
    <row r="127" spans="1:9">
      <c r="A127" s="177">
        <v>44743</v>
      </c>
      <c r="B127" t="s">
        <v>544</v>
      </c>
      <c r="C127" t="s">
        <v>15</v>
      </c>
      <c r="D127" s="684">
        <v>5</v>
      </c>
      <c r="E127" s="684">
        <v>1</v>
      </c>
      <c r="F127" t="s">
        <v>21</v>
      </c>
      <c r="G127" s="684">
        <v>1</v>
      </c>
      <c r="H127" s="684">
        <v>75.709999999999994</v>
      </c>
      <c r="I127" t="s">
        <v>699</v>
      </c>
    </row>
    <row r="128" spans="1:9">
      <c r="A128" s="177">
        <v>44743</v>
      </c>
      <c r="B128" t="s">
        <v>545</v>
      </c>
      <c r="C128" t="s">
        <v>15</v>
      </c>
      <c r="D128" s="684">
        <v>5</v>
      </c>
      <c r="E128" s="684">
        <v>2</v>
      </c>
      <c r="F128" t="s">
        <v>16</v>
      </c>
      <c r="G128" s="684">
        <v>1</v>
      </c>
      <c r="H128" s="684">
        <v>78.59</v>
      </c>
      <c r="I128" t="s">
        <v>699</v>
      </c>
    </row>
    <row r="129" spans="1:9">
      <c r="A129" s="177">
        <v>44743</v>
      </c>
      <c r="B129" t="s">
        <v>545</v>
      </c>
      <c r="C129" t="s">
        <v>15</v>
      </c>
      <c r="D129" s="684">
        <v>5</v>
      </c>
      <c r="E129" s="684">
        <v>2</v>
      </c>
      <c r="F129" t="s">
        <v>17</v>
      </c>
      <c r="G129" s="684">
        <v>1.0789</v>
      </c>
      <c r="H129" s="684">
        <v>84.79</v>
      </c>
      <c r="I129" t="s">
        <v>699</v>
      </c>
    </row>
    <row r="130" spans="1:9">
      <c r="A130" s="177">
        <v>44743</v>
      </c>
      <c r="B130" t="s">
        <v>545</v>
      </c>
      <c r="C130" t="s">
        <v>15</v>
      </c>
      <c r="D130" s="684">
        <v>5</v>
      </c>
      <c r="E130" s="684">
        <v>2</v>
      </c>
      <c r="F130" t="s">
        <v>18</v>
      </c>
      <c r="G130" s="684">
        <v>1</v>
      </c>
      <c r="H130" s="684">
        <v>78.59</v>
      </c>
      <c r="I130" t="s">
        <v>699</v>
      </c>
    </row>
    <row r="131" spans="1:9">
      <c r="A131" s="177">
        <v>44743</v>
      </c>
      <c r="B131" t="s">
        <v>545</v>
      </c>
      <c r="C131" t="s">
        <v>15</v>
      </c>
      <c r="D131" s="684">
        <v>5</v>
      </c>
      <c r="E131" s="684">
        <v>2</v>
      </c>
      <c r="F131" t="s">
        <v>19</v>
      </c>
      <c r="G131" s="684">
        <v>1</v>
      </c>
      <c r="H131" s="684">
        <v>78.59</v>
      </c>
      <c r="I131" t="s">
        <v>699</v>
      </c>
    </row>
    <row r="132" spans="1:9">
      <c r="A132" s="177">
        <v>44743</v>
      </c>
      <c r="B132" t="s">
        <v>545</v>
      </c>
      <c r="C132" t="s">
        <v>15</v>
      </c>
      <c r="D132" s="684">
        <v>5</v>
      </c>
      <c r="E132" s="684">
        <v>2</v>
      </c>
      <c r="F132" t="s">
        <v>20</v>
      </c>
      <c r="G132" s="684">
        <v>1.0629</v>
      </c>
      <c r="H132" s="684">
        <v>83.53</v>
      </c>
      <c r="I132" t="s">
        <v>699</v>
      </c>
    </row>
    <row r="133" spans="1:9">
      <c r="A133" s="177">
        <v>44743</v>
      </c>
      <c r="B133" t="s">
        <v>545</v>
      </c>
      <c r="C133" t="s">
        <v>15</v>
      </c>
      <c r="D133" s="684">
        <v>5</v>
      </c>
      <c r="E133" s="684">
        <v>2</v>
      </c>
      <c r="F133" t="s">
        <v>21</v>
      </c>
      <c r="G133" s="684">
        <v>1</v>
      </c>
      <c r="H133" s="684">
        <v>78.59</v>
      </c>
      <c r="I133" t="s">
        <v>699</v>
      </c>
    </row>
    <row r="134" spans="1:9">
      <c r="A134" s="177">
        <v>44743</v>
      </c>
      <c r="B134" t="s">
        <v>546</v>
      </c>
      <c r="C134" t="s">
        <v>15</v>
      </c>
      <c r="D134" s="684">
        <v>5</v>
      </c>
      <c r="E134" s="684">
        <v>3</v>
      </c>
      <c r="F134" t="s">
        <v>16</v>
      </c>
      <c r="G134" s="684">
        <v>1</v>
      </c>
      <c r="H134" s="684">
        <v>83.25</v>
      </c>
      <c r="I134" t="s">
        <v>699</v>
      </c>
    </row>
    <row r="135" spans="1:9">
      <c r="A135" s="177">
        <v>44743</v>
      </c>
      <c r="B135" t="s">
        <v>546</v>
      </c>
      <c r="C135" t="s">
        <v>15</v>
      </c>
      <c r="D135" s="684">
        <v>5</v>
      </c>
      <c r="E135" s="684">
        <v>3</v>
      </c>
      <c r="F135" t="s">
        <v>17</v>
      </c>
      <c r="G135" s="684">
        <v>1.0789</v>
      </c>
      <c r="H135" s="684">
        <v>89.82</v>
      </c>
      <c r="I135" t="s">
        <v>699</v>
      </c>
    </row>
    <row r="136" spans="1:9">
      <c r="A136" s="177">
        <v>44743</v>
      </c>
      <c r="B136" t="s">
        <v>546</v>
      </c>
      <c r="C136" t="s">
        <v>15</v>
      </c>
      <c r="D136" s="684">
        <v>5</v>
      </c>
      <c r="E136" s="684">
        <v>3</v>
      </c>
      <c r="F136" t="s">
        <v>18</v>
      </c>
      <c r="G136" s="684">
        <v>1</v>
      </c>
      <c r="H136" s="684">
        <v>83.25</v>
      </c>
      <c r="I136" t="s">
        <v>699</v>
      </c>
    </row>
    <row r="137" spans="1:9">
      <c r="A137" s="177">
        <v>44743</v>
      </c>
      <c r="B137" t="s">
        <v>546</v>
      </c>
      <c r="C137" t="s">
        <v>15</v>
      </c>
      <c r="D137" s="684">
        <v>5</v>
      </c>
      <c r="E137" s="684">
        <v>3</v>
      </c>
      <c r="F137" t="s">
        <v>19</v>
      </c>
      <c r="G137" s="684">
        <v>1</v>
      </c>
      <c r="H137" s="684">
        <v>83.25</v>
      </c>
      <c r="I137" t="s">
        <v>699</v>
      </c>
    </row>
    <row r="138" spans="1:9">
      <c r="A138" s="177">
        <v>44743</v>
      </c>
      <c r="B138" t="s">
        <v>546</v>
      </c>
      <c r="C138" t="s">
        <v>15</v>
      </c>
      <c r="D138" s="684">
        <v>5</v>
      </c>
      <c r="E138" s="684">
        <v>3</v>
      </c>
      <c r="F138" t="s">
        <v>20</v>
      </c>
      <c r="G138" s="684">
        <v>1.0629</v>
      </c>
      <c r="H138" s="684">
        <v>88.49</v>
      </c>
      <c r="I138" t="s">
        <v>699</v>
      </c>
    </row>
    <row r="139" spans="1:9">
      <c r="A139" s="177">
        <v>44743</v>
      </c>
      <c r="B139" t="s">
        <v>546</v>
      </c>
      <c r="C139" t="s">
        <v>15</v>
      </c>
      <c r="D139" s="684">
        <v>5</v>
      </c>
      <c r="E139" s="684">
        <v>3</v>
      </c>
      <c r="F139" t="s">
        <v>21</v>
      </c>
      <c r="G139" s="684">
        <v>1</v>
      </c>
      <c r="H139" s="684">
        <v>83.25</v>
      </c>
      <c r="I139" t="s">
        <v>699</v>
      </c>
    </row>
    <row r="140" spans="1:9">
      <c r="A140" s="177">
        <v>44743</v>
      </c>
      <c r="B140" t="s">
        <v>547</v>
      </c>
      <c r="C140" t="s">
        <v>15</v>
      </c>
      <c r="D140" s="684">
        <v>5</v>
      </c>
      <c r="E140" s="684">
        <v>4</v>
      </c>
      <c r="F140" t="s">
        <v>16</v>
      </c>
      <c r="G140" s="684">
        <v>1</v>
      </c>
      <c r="H140" s="684">
        <v>89.55</v>
      </c>
      <c r="I140" t="s">
        <v>699</v>
      </c>
    </row>
    <row r="141" spans="1:9">
      <c r="A141" s="177">
        <v>44743</v>
      </c>
      <c r="B141" t="s">
        <v>547</v>
      </c>
      <c r="C141" t="s">
        <v>15</v>
      </c>
      <c r="D141" s="684">
        <v>5</v>
      </c>
      <c r="E141" s="684">
        <v>4</v>
      </c>
      <c r="F141" t="s">
        <v>17</v>
      </c>
      <c r="G141" s="684">
        <v>1.0789</v>
      </c>
      <c r="H141" s="684">
        <v>96.62</v>
      </c>
      <c r="I141" t="s">
        <v>699</v>
      </c>
    </row>
    <row r="142" spans="1:9">
      <c r="A142" s="177">
        <v>44743</v>
      </c>
      <c r="B142" t="s">
        <v>547</v>
      </c>
      <c r="C142" t="s">
        <v>15</v>
      </c>
      <c r="D142" s="684">
        <v>5</v>
      </c>
      <c r="E142" s="684">
        <v>4</v>
      </c>
      <c r="F142" t="s">
        <v>18</v>
      </c>
      <c r="G142" s="684">
        <v>1</v>
      </c>
      <c r="H142" s="684">
        <v>89.55</v>
      </c>
      <c r="I142" t="s">
        <v>699</v>
      </c>
    </row>
    <row r="143" spans="1:9">
      <c r="A143" s="177">
        <v>44743</v>
      </c>
      <c r="B143" t="s">
        <v>547</v>
      </c>
      <c r="C143" t="s">
        <v>15</v>
      </c>
      <c r="D143" s="684">
        <v>5</v>
      </c>
      <c r="E143" s="684">
        <v>4</v>
      </c>
      <c r="F143" t="s">
        <v>19</v>
      </c>
      <c r="G143" s="684">
        <v>1</v>
      </c>
      <c r="H143" s="684">
        <v>89.55</v>
      </c>
      <c r="I143" t="s">
        <v>699</v>
      </c>
    </row>
    <row r="144" spans="1:9">
      <c r="A144" s="177">
        <v>44743</v>
      </c>
      <c r="B144" t="s">
        <v>547</v>
      </c>
      <c r="C144" t="s">
        <v>15</v>
      </c>
      <c r="D144" s="684">
        <v>5</v>
      </c>
      <c r="E144" s="684">
        <v>4</v>
      </c>
      <c r="F144" t="s">
        <v>20</v>
      </c>
      <c r="G144" s="684">
        <v>1.0629</v>
      </c>
      <c r="H144" s="684">
        <v>95.18</v>
      </c>
      <c r="I144" t="s">
        <v>699</v>
      </c>
    </row>
    <row r="145" spans="1:9">
      <c r="A145" s="177">
        <v>44743</v>
      </c>
      <c r="B145" t="s">
        <v>547</v>
      </c>
      <c r="C145" t="s">
        <v>15</v>
      </c>
      <c r="D145" s="684">
        <v>5</v>
      </c>
      <c r="E145" s="684">
        <v>4</v>
      </c>
      <c r="F145" t="s">
        <v>21</v>
      </c>
      <c r="G145" s="684">
        <v>1</v>
      </c>
      <c r="H145" s="684">
        <v>89.55</v>
      </c>
      <c r="I145" t="s">
        <v>699</v>
      </c>
    </row>
    <row r="146" spans="1:9">
      <c r="A146" s="177">
        <v>44743</v>
      </c>
      <c r="B146" t="s">
        <v>548</v>
      </c>
      <c r="C146" t="s">
        <v>15</v>
      </c>
      <c r="D146" s="684">
        <v>5</v>
      </c>
      <c r="E146" s="684">
        <v>5</v>
      </c>
      <c r="F146" t="s">
        <v>16</v>
      </c>
      <c r="G146" s="684">
        <v>1</v>
      </c>
      <c r="H146" s="684">
        <v>95.09</v>
      </c>
      <c r="I146" t="s">
        <v>699</v>
      </c>
    </row>
    <row r="147" spans="1:9">
      <c r="A147" s="177">
        <v>44743</v>
      </c>
      <c r="B147" t="s">
        <v>548</v>
      </c>
      <c r="C147" t="s">
        <v>15</v>
      </c>
      <c r="D147" s="684">
        <v>5</v>
      </c>
      <c r="E147" s="684">
        <v>5</v>
      </c>
      <c r="F147" t="s">
        <v>17</v>
      </c>
      <c r="G147" s="684">
        <v>1.0789</v>
      </c>
      <c r="H147" s="684">
        <v>102.59</v>
      </c>
      <c r="I147" t="s">
        <v>699</v>
      </c>
    </row>
    <row r="148" spans="1:9">
      <c r="A148" s="177">
        <v>44743</v>
      </c>
      <c r="B148" t="s">
        <v>548</v>
      </c>
      <c r="C148" t="s">
        <v>15</v>
      </c>
      <c r="D148" s="684">
        <v>5</v>
      </c>
      <c r="E148" s="684">
        <v>5</v>
      </c>
      <c r="F148" t="s">
        <v>18</v>
      </c>
      <c r="G148" s="684">
        <v>1</v>
      </c>
      <c r="H148" s="684">
        <v>95.09</v>
      </c>
      <c r="I148" t="s">
        <v>699</v>
      </c>
    </row>
    <row r="149" spans="1:9">
      <c r="A149" s="177">
        <v>44743</v>
      </c>
      <c r="B149" t="s">
        <v>548</v>
      </c>
      <c r="C149" t="s">
        <v>15</v>
      </c>
      <c r="D149" s="684">
        <v>5</v>
      </c>
      <c r="E149" s="684">
        <v>5</v>
      </c>
      <c r="F149" t="s">
        <v>19</v>
      </c>
      <c r="G149" s="684">
        <v>1</v>
      </c>
      <c r="H149" s="684">
        <v>95.09</v>
      </c>
      <c r="I149" t="s">
        <v>699</v>
      </c>
    </row>
    <row r="150" spans="1:9">
      <c r="A150" s="177">
        <v>44743</v>
      </c>
      <c r="B150" t="s">
        <v>548</v>
      </c>
      <c r="C150" t="s">
        <v>15</v>
      </c>
      <c r="D150" s="684">
        <v>5</v>
      </c>
      <c r="E150" s="684">
        <v>5</v>
      </c>
      <c r="F150" t="s">
        <v>20</v>
      </c>
      <c r="G150" s="684">
        <v>1.0629</v>
      </c>
      <c r="H150" s="684">
        <v>101.07</v>
      </c>
      <c r="I150" t="s">
        <v>699</v>
      </c>
    </row>
    <row r="151" spans="1:9">
      <c r="A151" s="177">
        <v>44743</v>
      </c>
      <c r="B151" t="s">
        <v>548</v>
      </c>
      <c r="C151" t="s">
        <v>15</v>
      </c>
      <c r="D151" s="684">
        <v>5</v>
      </c>
      <c r="E151" s="684">
        <v>5</v>
      </c>
      <c r="F151" t="s">
        <v>21</v>
      </c>
      <c r="G151" s="684">
        <v>1</v>
      </c>
      <c r="H151" s="684">
        <v>95.09</v>
      </c>
      <c r="I151" t="s">
        <v>699</v>
      </c>
    </row>
    <row r="152" spans="1:9">
      <c r="A152" s="177">
        <v>44743</v>
      </c>
      <c r="B152" t="s">
        <v>549</v>
      </c>
      <c r="C152" t="s">
        <v>375</v>
      </c>
      <c r="D152" s="684">
        <v>1</v>
      </c>
      <c r="E152" s="684">
        <v>1</v>
      </c>
      <c r="F152" t="s">
        <v>16</v>
      </c>
      <c r="G152" s="684">
        <v>1</v>
      </c>
      <c r="H152" s="684">
        <v>27.12</v>
      </c>
      <c r="I152" t="s">
        <v>691</v>
      </c>
    </row>
    <row r="153" spans="1:9">
      <c r="A153" s="177">
        <v>44743</v>
      </c>
      <c r="B153" t="s">
        <v>549</v>
      </c>
      <c r="C153" t="s">
        <v>375</v>
      </c>
      <c r="D153" s="684">
        <v>1</v>
      </c>
      <c r="E153" s="684">
        <v>1</v>
      </c>
      <c r="F153" t="s">
        <v>17</v>
      </c>
      <c r="G153" s="684">
        <v>1.0789</v>
      </c>
      <c r="H153" s="684">
        <v>29.26</v>
      </c>
      <c r="I153" t="s">
        <v>691</v>
      </c>
    </row>
    <row r="154" spans="1:9">
      <c r="A154" s="177">
        <v>44743</v>
      </c>
      <c r="B154" t="s">
        <v>549</v>
      </c>
      <c r="C154" t="s">
        <v>375</v>
      </c>
      <c r="D154" s="684">
        <v>1</v>
      </c>
      <c r="E154" s="684">
        <v>1</v>
      </c>
      <c r="F154" t="s">
        <v>18</v>
      </c>
      <c r="G154" s="684">
        <v>1</v>
      </c>
      <c r="H154" s="684">
        <v>27.12</v>
      </c>
      <c r="I154" t="s">
        <v>691</v>
      </c>
    </row>
    <row r="155" spans="1:9">
      <c r="A155" s="177">
        <v>44743</v>
      </c>
      <c r="B155" t="s">
        <v>549</v>
      </c>
      <c r="C155" t="s">
        <v>375</v>
      </c>
      <c r="D155" s="684">
        <v>1</v>
      </c>
      <c r="E155" s="684">
        <v>1</v>
      </c>
      <c r="F155" t="s">
        <v>19</v>
      </c>
      <c r="G155" s="684">
        <v>1</v>
      </c>
      <c r="H155" s="684">
        <v>27.12</v>
      </c>
      <c r="I155" t="s">
        <v>691</v>
      </c>
    </row>
    <row r="156" spans="1:9">
      <c r="A156" s="177">
        <v>44743</v>
      </c>
      <c r="B156" t="s">
        <v>549</v>
      </c>
      <c r="C156" t="s">
        <v>375</v>
      </c>
      <c r="D156" s="684">
        <v>1</v>
      </c>
      <c r="E156" s="684">
        <v>1</v>
      </c>
      <c r="F156" t="s">
        <v>20</v>
      </c>
      <c r="G156" s="684">
        <v>1.0629</v>
      </c>
      <c r="H156" s="684">
        <v>28.83</v>
      </c>
      <c r="I156" t="s">
        <v>691</v>
      </c>
    </row>
    <row r="157" spans="1:9">
      <c r="A157" s="177">
        <v>44743</v>
      </c>
      <c r="B157" t="s">
        <v>549</v>
      </c>
      <c r="C157" t="s">
        <v>375</v>
      </c>
      <c r="D157" s="684">
        <v>1</v>
      </c>
      <c r="E157" s="684">
        <v>1</v>
      </c>
      <c r="F157" t="s">
        <v>21</v>
      </c>
      <c r="G157" s="684">
        <v>1</v>
      </c>
      <c r="H157" s="684">
        <v>27.12</v>
      </c>
      <c r="I157" t="s">
        <v>691</v>
      </c>
    </row>
    <row r="158" spans="1:9">
      <c r="A158" s="177">
        <v>44743</v>
      </c>
      <c r="B158" t="s">
        <v>550</v>
      </c>
      <c r="C158" t="s">
        <v>375</v>
      </c>
      <c r="D158" s="684">
        <v>1</v>
      </c>
      <c r="E158" s="684">
        <v>2</v>
      </c>
      <c r="F158" t="s">
        <v>16</v>
      </c>
      <c r="G158" s="684">
        <v>1</v>
      </c>
      <c r="H158" s="684">
        <v>29.65</v>
      </c>
      <c r="I158" t="s">
        <v>691</v>
      </c>
    </row>
    <row r="159" spans="1:9">
      <c r="A159" s="177">
        <v>44743</v>
      </c>
      <c r="B159" t="s">
        <v>550</v>
      </c>
      <c r="C159" t="s">
        <v>375</v>
      </c>
      <c r="D159" s="684">
        <v>1</v>
      </c>
      <c r="E159" s="684">
        <v>2</v>
      </c>
      <c r="F159" t="s">
        <v>17</v>
      </c>
      <c r="G159" s="684">
        <v>1.0789</v>
      </c>
      <c r="H159" s="684">
        <v>31.99</v>
      </c>
      <c r="I159" t="s">
        <v>691</v>
      </c>
    </row>
    <row r="160" spans="1:9">
      <c r="A160" s="177">
        <v>44743</v>
      </c>
      <c r="B160" t="s">
        <v>550</v>
      </c>
      <c r="C160" t="s">
        <v>375</v>
      </c>
      <c r="D160" s="684">
        <v>1</v>
      </c>
      <c r="E160" s="684">
        <v>2</v>
      </c>
      <c r="F160" t="s">
        <v>18</v>
      </c>
      <c r="G160" s="684">
        <v>1</v>
      </c>
      <c r="H160" s="684">
        <v>29.65</v>
      </c>
      <c r="I160" t="s">
        <v>691</v>
      </c>
    </row>
    <row r="161" spans="1:9">
      <c r="A161" s="177">
        <v>44743</v>
      </c>
      <c r="B161" t="s">
        <v>550</v>
      </c>
      <c r="C161" t="s">
        <v>375</v>
      </c>
      <c r="D161" s="684">
        <v>1</v>
      </c>
      <c r="E161" s="684">
        <v>2</v>
      </c>
      <c r="F161" t="s">
        <v>19</v>
      </c>
      <c r="G161" s="684">
        <v>1</v>
      </c>
      <c r="H161" s="684">
        <v>29.65</v>
      </c>
      <c r="I161" t="s">
        <v>691</v>
      </c>
    </row>
    <row r="162" spans="1:9">
      <c r="A162" s="177">
        <v>44743</v>
      </c>
      <c r="B162" t="s">
        <v>550</v>
      </c>
      <c r="C162" t="s">
        <v>375</v>
      </c>
      <c r="D162" s="684">
        <v>1</v>
      </c>
      <c r="E162" s="684">
        <v>2</v>
      </c>
      <c r="F162" t="s">
        <v>20</v>
      </c>
      <c r="G162" s="684">
        <v>1.0629</v>
      </c>
      <c r="H162" s="684">
        <v>31.51</v>
      </c>
      <c r="I162" t="s">
        <v>691</v>
      </c>
    </row>
    <row r="163" spans="1:9">
      <c r="A163" s="177">
        <v>44743</v>
      </c>
      <c r="B163" t="s">
        <v>550</v>
      </c>
      <c r="C163" t="s">
        <v>375</v>
      </c>
      <c r="D163" s="684">
        <v>1</v>
      </c>
      <c r="E163" s="684">
        <v>2</v>
      </c>
      <c r="F163" t="s">
        <v>21</v>
      </c>
      <c r="G163" s="684">
        <v>1</v>
      </c>
      <c r="H163" s="684">
        <v>29.65</v>
      </c>
      <c r="I163" t="s">
        <v>691</v>
      </c>
    </row>
    <row r="164" spans="1:9">
      <c r="A164" s="177">
        <v>44743</v>
      </c>
      <c r="B164" t="s">
        <v>551</v>
      </c>
      <c r="C164" t="s">
        <v>375</v>
      </c>
      <c r="D164" s="684">
        <v>1</v>
      </c>
      <c r="E164" s="684">
        <v>3</v>
      </c>
      <c r="F164" t="s">
        <v>16</v>
      </c>
      <c r="G164" s="684">
        <v>1</v>
      </c>
      <c r="H164" s="684">
        <v>33.76</v>
      </c>
      <c r="I164" t="s">
        <v>691</v>
      </c>
    </row>
    <row r="165" spans="1:9">
      <c r="A165" s="177">
        <v>44743</v>
      </c>
      <c r="B165" t="s">
        <v>551</v>
      </c>
      <c r="C165" t="s">
        <v>375</v>
      </c>
      <c r="D165" s="684">
        <v>1</v>
      </c>
      <c r="E165" s="684">
        <v>3</v>
      </c>
      <c r="F165" t="s">
        <v>17</v>
      </c>
      <c r="G165" s="684">
        <v>1.0789</v>
      </c>
      <c r="H165" s="684">
        <v>36.42</v>
      </c>
      <c r="I165" t="s">
        <v>691</v>
      </c>
    </row>
    <row r="166" spans="1:9">
      <c r="A166" s="177">
        <v>44743</v>
      </c>
      <c r="B166" t="s">
        <v>551</v>
      </c>
      <c r="C166" t="s">
        <v>375</v>
      </c>
      <c r="D166" s="684">
        <v>1</v>
      </c>
      <c r="E166" s="684">
        <v>3</v>
      </c>
      <c r="F166" t="s">
        <v>18</v>
      </c>
      <c r="G166" s="684">
        <v>1</v>
      </c>
      <c r="H166" s="684">
        <v>33.76</v>
      </c>
      <c r="I166" t="s">
        <v>691</v>
      </c>
    </row>
    <row r="167" spans="1:9">
      <c r="A167" s="177">
        <v>44743</v>
      </c>
      <c r="B167" t="s">
        <v>551</v>
      </c>
      <c r="C167" t="s">
        <v>375</v>
      </c>
      <c r="D167" s="684">
        <v>1</v>
      </c>
      <c r="E167" s="684">
        <v>3</v>
      </c>
      <c r="F167" t="s">
        <v>19</v>
      </c>
      <c r="G167" s="684">
        <v>1</v>
      </c>
      <c r="H167" s="684">
        <v>33.76</v>
      </c>
      <c r="I167" t="s">
        <v>691</v>
      </c>
    </row>
    <row r="168" spans="1:9">
      <c r="A168" s="177">
        <v>44743</v>
      </c>
      <c r="B168" t="s">
        <v>551</v>
      </c>
      <c r="C168" t="s">
        <v>375</v>
      </c>
      <c r="D168" s="684">
        <v>1</v>
      </c>
      <c r="E168" s="684">
        <v>3</v>
      </c>
      <c r="F168" t="s">
        <v>20</v>
      </c>
      <c r="G168" s="684">
        <v>1.0629</v>
      </c>
      <c r="H168" s="684">
        <v>35.880000000000003</v>
      </c>
      <c r="I168" t="s">
        <v>691</v>
      </c>
    </row>
    <row r="169" spans="1:9">
      <c r="A169" s="177">
        <v>44743</v>
      </c>
      <c r="B169" t="s">
        <v>551</v>
      </c>
      <c r="C169" t="s">
        <v>375</v>
      </c>
      <c r="D169" s="684">
        <v>1</v>
      </c>
      <c r="E169" s="684">
        <v>3</v>
      </c>
      <c r="F169" t="s">
        <v>21</v>
      </c>
      <c r="G169" s="684">
        <v>1</v>
      </c>
      <c r="H169" s="684">
        <v>33.76</v>
      </c>
      <c r="I169" t="s">
        <v>691</v>
      </c>
    </row>
    <row r="170" spans="1:9">
      <c r="A170" s="177">
        <v>44743</v>
      </c>
      <c r="B170" t="s">
        <v>552</v>
      </c>
      <c r="C170" t="s">
        <v>375</v>
      </c>
      <c r="D170" s="684">
        <v>1</v>
      </c>
      <c r="E170" s="684">
        <v>4</v>
      </c>
      <c r="F170" t="s">
        <v>16</v>
      </c>
      <c r="G170" s="684">
        <v>1</v>
      </c>
      <c r="H170" s="684">
        <v>39.299999999999997</v>
      </c>
      <c r="I170" t="s">
        <v>691</v>
      </c>
    </row>
    <row r="171" spans="1:9">
      <c r="A171" s="177">
        <v>44743</v>
      </c>
      <c r="B171" t="s">
        <v>552</v>
      </c>
      <c r="C171" t="s">
        <v>375</v>
      </c>
      <c r="D171" s="684">
        <v>1</v>
      </c>
      <c r="E171" s="684">
        <v>4</v>
      </c>
      <c r="F171" t="s">
        <v>17</v>
      </c>
      <c r="G171" s="684">
        <v>1.0789</v>
      </c>
      <c r="H171" s="684">
        <v>42.4</v>
      </c>
      <c r="I171" t="s">
        <v>691</v>
      </c>
    </row>
    <row r="172" spans="1:9">
      <c r="A172" s="177">
        <v>44743</v>
      </c>
      <c r="B172" t="s">
        <v>552</v>
      </c>
      <c r="C172" t="s">
        <v>375</v>
      </c>
      <c r="D172" s="684">
        <v>1</v>
      </c>
      <c r="E172" s="684">
        <v>4</v>
      </c>
      <c r="F172" t="s">
        <v>18</v>
      </c>
      <c r="G172" s="684">
        <v>1</v>
      </c>
      <c r="H172" s="684">
        <v>39.299999999999997</v>
      </c>
      <c r="I172" t="s">
        <v>691</v>
      </c>
    </row>
    <row r="173" spans="1:9">
      <c r="A173" s="177">
        <v>44743</v>
      </c>
      <c r="B173" t="s">
        <v>552</v>
      </c>
      <c r="C173" t="s">
        <v>375</v>
      </c>
      <c r="D173" s="684">
        <v>1</v>
      </c>
      <c r="E173" s="684">
        <v>4</v>
      </c>
      <c r="F173" t="s">
        <v>19</v>
      </c>
      <c r="G173" s="684">
        <v>1</v>
      </c>
      <c r="H173" s="684">
        <v>39.299999999999997</v>
      </c>
      <c r="I173" t="s">
        <v>691</v>
      </c>
    </row>
    <row r="174" spans="1:9">
      <c r="A174" s="177">
        <v>44743</v>
      </c>
      <c r="B174" t="s">
        <v>552</v>
      </c>
      <c r="C174" t="s">
        <v>375</v>
      </c>
      <c r="D174" s="684">
        <v>1</v>
      </c>
      <c r="E174" s="684">
        <v>4</v>
      </c>
      <c r="F174" t="s">
        <v>20</v>
      </c>
      <c r="G174" s="684">
        <v>1.0629</v>
      </c>
      <c r="H174" s="684">
        <v>41.77</v>
      </c>
      <c r="I174" t="s">
        <v>691</v>
      </c>
    </row>
    <row r="175" spans="1:9">
      <c r="A175" s="177">
        <v>44743</v>
      </c>
      <c r="B175" t="s">
        <v>552</v>
      </c>
      <c r="C175" t="s">
        <v>375</v>
      </c>
      <c r="D175" s="684">
        <v>1</v>
      </c>
      <c r="E175" s="684">
        <v>4</v>
      </c>
      <c r="F175" t="s">
        <v>21</v>
      </c>
      <c r="G175" s="684">
        <v>1</v>
      </c>
      <c r="H175" s="684">
        <v>39.299999999999997</v>
      </c>
      <c r="I175" t="s">
        <v>691</v>
      </c>
    </row>
    <row r="176" spans="1:9">
      <c r="A176" s="177">
        <v>44743</v>
      </c>
      <c r="B176" t="s">
        <v>553</v>
      </c>
      <c r="C176" t="s">
        <v>375</v>
      </c>
      <c r="D176" s="684">
        <v>1</v>
      </c>
      <c r="E176" s="684">
        <v>5</v>
      </c>
      <c r="F176" t="s">
        <v>16</v>
      </c>
      <c r="G176" s="684">
        <v>1</v>
      </c>
      <c r="H176" s="684">
        <v>44.14</v>
      </c>
      <c r="I176" t="s">
        <v>691</v>
      </c>
    </row>
    <row r="177" spans="1:9">
      <c r="A177" s="177">
        <v>44743</v>
      </c>
      <c r="B177" t="s">
        <v>553</v>
      </c>
      <c r="C177" t="s">
        <v>375</v>
      </c>
      <c r="D177" s="684">
        <v>1</v>
      </c>
      <c r="E177" s="684">
        <v>5</v>
      </c>
      <c r="F177" t="s">
        <v>17</v>
      </c>
      <c r="G177" s="684">
        <v>1.0789</v>
      </c>
      <c r="H177" s="684">
        <v>47.62</v>
      </c>
      <c r="I177" t="s">
        <v>691</v>
      </c>
    </row>
    <row r="178" spans="1:9">
      <c r="A178" s="177">
        <v>44743</v>
      </c>
      <c r="B178" t="s">
        <v>553</v>
      </c>
      <c r="C178" t="s">
        <v>375</v>
      </c>
      <c r="D178" s="684">
        <v>1</v>
      </c>
      <c r="E178" s="684">
        <v>5</v>
      </c>
      <c r="F178" t="s">
        <v>18</v>
      </c>
      <c r="G178" s="684">
        <v>1</v>
      </c>
      <c r="H178" s="684">
        <v>44.14</v>
      </c>
      <c r="I178" t="s">
        <v>691</v>
      </c>
    </row>
    <row r="179" spans="1:9">
      <c r="A179" s="177">
        <v>44743</v>
      </c>
      <c r="B179" t="s">
        <v>553</v>
      </c>
      <c r="C179" t="s">
        <v>375</v>
      </c>
      <c r="D179" s="684">
        <v>1</v>
      </c>
      <c r="E179" s="684">
        <v>5</v>
      </c>
      <c r="F179" t="s">
        <v>19</v>
      </c>
      <c r="G179" s="684">
        <v>1</v>
      </c>
      <c r="H179" s="684">
        <v>44.14</v>
      </c>
      <c r="I179" t="s">
        <v>691</v>
      </c>
    </row>
    <row r="180" spans="1:9">
      <c r="A180" s="177">
        <v>44743</v>
      </c>
      <c r="B180" t="s">
        <v>553</v>
      </c>
      <c r="C180" t="s">
        <v>375</v>
      </c>
      <c r="D180" s="684">
        <v>1</v>
      </c>
      <c r="E180" s="684">
        <v>5</v>
      </c>
      <c r="F180" t="s">
        <v>20</v>
      </c>
      <c r="G180" s="684">
        <v>1.0629</v>
      </c>
      <c r="H180" s="684">
        <v>46.92</v>
      </c>
      <c r="I180" t="s">
        <v>691</v>
      </c>
    </row>
    <row r="181" spans="1:9">
      <c r="A181" s="177">
        <v>44743</v>
      </c>
      <c r="B181" t="s">
        <v>553</v>
      </c>
      <c r="C181" t="s">
        <v>375</v>
      </c>
      <c r="D181" s="684">
        <v>1</v>
      </c>
      <c r="E181" s="684">
        <v>5</v>
      </c>
      <c r="F181" t="s">
        <v>21</v>
      </c>
      <c r="G181" s="684">
        <v>1</v>
      </c>
      <c r="H181" s="684">
        <v>44.14</v>
      </c>
      <c r="I181" t="s">
        <v>691</v>
      </c>
    </row>
    <row r="182" spans="1:9">
      <c r="A182" s="177">
        <v>44743</v>
      </c>
      <c r="B182" t="s">
        <v>554</v>
      </c>
      <c r="C182" t="s">
        <v>375</v>
      </c>
      <c r="D182" s="684">
        <v>2</v>
      </c>
      <c r="E182" s="684">
        <v>1</v>
      </c>
      <c r="F182" t="s">
        <v>16</v>
      </c>
      <c r="G182" s="684">
        <v>1</v>
      </c>
      <c r="H182" s="684">
        <v>48.54</v>
      </c>
      <c r="I182" t="s">
        <v>691</v>
      </c>
    </row>
    <row r="183" spans="1:9">
      <c r="A183" s="177">
        <v>44743</v>
      </c>
      <c r="B183" t="s">
        <v>554</v>
      </c>
      <c r="C183" t="s">
        <v>375</v>
      </c>
      <c r="D183" s="684">
        <v>2</v>
      </c>
      <c r="E183" s="684">
        <v>1</v>
      </c>
      <c r="F183" t="s">
        <v>17</v>
      </c>
      <c r="G183" s="684">
        <v>1.0789</v>
      </c>
      <c r="H183" s="684">
        <v>52.37</v>
      </c>
      <c r="I183" t="s">
        <v>691</v>
      </c>
    </row>
    <row r="184" spans="1:9">
      <c r="A184" s="177">
        <v>44743</v>
      </c>
      <c r="B184" t="s">
        <v>554</v>
      </c>
      <c r="C184" t="s">
        <v>375</v>
      </c>
      <c r="D184" s="684">
        <v>2</v>
      </c>
      <c r="E184" s="684">
        <v>1</v>
      </c>
      <c r="F184" t="s">
        <v>18</v>
      </c>
      <c r="G184" s="684">
        <v>1</v>
      </c>
      <c r="H184" s="684">
        <v>48.54</v>
      </c>
      <c r="I184" t="s">
        <v>691</v>
      </c>
    </row>
    <row r="185" spans="1:9">
      <c r="A185" s="177">
        <v>44743</v>
      </c>
      <c r="B185" t="s">
        <v>554</v>
      </c>
      <c r="C185" t="s">
        <v>375</v>
      </c>
      <c r="D185" s="684">
        <v>2</v>
      </c>
      <c r="E185" s="684">
        <v>1</v>
      </c>
      <c r="F185" t="s">
        <v>19</v>
      </c>
      <c r="G185" s="684">
        <v>1</v>
      </c>
      <c r="H185" s="684">
        <v>48.54</v>
      </c>
      <c r="I185" t="s">
        <v>691</v>
      </c>
    </row>
    <row r="186" spans="1:9">
      <c r="A186" s="177">
        <v>44743</v>
      </c>
      <c r="B186" t="s">
        <v>554</v>
      </c>
      <c r="C186" t="s">
        <v>375</v>
      </c>
      <c r="D186" s="684">
        <v>2</v>
      </c>
      <c r="E186" s="684">
        <v>1</v>
      </c>
      <c r="F186" t="s">
        <v>20</v>
      </c>
      <c r="G186" s="684">
        <v>1.0629</v>
      </c>
      <c r="H186" s="684">
        <v>51.59</v>
      </c>
      <c r="I186" t="s">
        <v>691</v>
      </c>
    </row>
    <row r="187" spans="1:9">
      <c r="A187" s="177">
        <v>44743</v>
      </c>
      <c r="B187" t="s">
        <v>554</v>
      </c>
      <c r="C187" t="s">
        <v>375</v>
      </c>
      <c r="D187" s="684">
        <v>2</v>
      </c>
      <c r="E187" s="684">
        <v>1</v>
      </c>
      <c r="F187" t="s">
        <v>21</v>
      </c>
      <c r="G187" s="684">
        <v>1</v>
      </c>
      <c r="H187" s="684">
        <v>48.54</v>
      </c>
      <c r="I187" t="s">
        <v>691</v>
      </c>
    </row>
    <row r="188" spans="1:9">
      <c r="A188" s="177">
        <v>44743</v>
      </c>
      <c r="B188" t="s">
        <v>555</v>
      </c>
      <c r="C188" t="s">
        <v>375</v>
      </c>
      <c r="D188" s="684">
        <v>2</v>
      </c>
      <c r="E188" s="684">
        <v>2</v>
      </c>
      <c r="F188" t="s">
        <v>16</v>
      </c>
      <c r="G188" s="684">
        <v>1</v>
      </c>
      <c r="H188" s="684">
        <v>51.08</v>
      </c>
      <c r="I188" t="s">
        <v>691</v>
      </c>
    </row>
    <row r="189" spans="1:9">
      <c r="A189" s="177">
        <v>44743</v>
      </c>
      <c r="B189" t="s">
        <v>555</v>
      </c>
      <c r="C189" t="s">
        <v>375</v>
      </c>
      <c r="D189" s="684">
        <v>2</v>
      </c>
      <c r="E189" s="684">
        <v>2</v>
      </c>
      <c r="F189" t="s">
        <v>17</v>
      </c>
      <c r="G189" s="684">
        <v>1.0789</v>
      </c>
      <c r="H189" s="684">
        <v>55.11</v>
      </c>
      <c r="I189" t="s">
        <v>691</v>
      </c>
    </row>
    <row r="190" spans="1:9">
      <c r="A190" s="177">
        <v>44743</v>
      </c>
      <c r="B190" t="s">
        <v>555</v>
      </c>
      <c r="C190" t="s">
        <v>375</v>
      </c>
      <c r="D190" s="684">
        <v>2</v>
      </c>
      <c r="E190" s="684">
        <v>2</v>
      </c>
      <c r="F190" t="s">
        <v>18</v>
      </c>
      <c r="G190" s="684">
        <v>1</v>
      </c>
      <c r="H190" s="684">
        <v>51.08</v>
      </c>
      <c r="I190" t="s">
        <v>691</v>
      </c>
    </row>
    <row r="191" spans="1:9">
      <c r="A191" s="177">
        <v>44743</v>
      </c>
      <c r="B191" t="s">
        <v>555</v>
      </c>
      <c r="C191" t="s">
        <v>375</v>
      </c>
      <c r="D191" s="684">
        <v>2</v>
      </c>
      <c r="E191" s="684">
        <v>2</v>
      </c>
      <c r="F191" t="s">
        <v>19</v>
      </c>
      <c r="G191" s="684">
        <v>1</v>
      </c>
      <c r="H191" s="684">
        <v>51.08</v>
      </c>
      <c r="I191" t="s">
        <v>691</v>
      </c>
    </row>
    <row r="192" spans="1:9">
      <c r="A192" s="177">
        <v>44743</v>
      </c>
      <c r="B192" t="s">
        <v>555</v>
      </c>
      <c r="C192" t="s">
        <v>375</v>
      </c>
      <c r="D192" s="684">
        <v>2</v>
      </c>
      <c r="E192" s="684">
        <v>2</v>
      </c>
      <c r="F192" t="s">
        <v>20</v>
      </c>
      <c r="G192" s="684">
        <v>1.0629</v>
      </c>
      <c r="H192" s="684">
        <v>54.29</v>
      </c>
      <c r="I192" t="s">
        <v>691</v>
      </c>
    </row>
    <row r="193" spans="1:9">
      <c r="A193" s="177">
        <v>44743</v>
      </c>
      <c r="B193" t="s">
        <v>555</v>
      </c>
      <c r="C193" t="s">
        <v>375</v>
      </c>
      <c r="D193" s="684">
        <v>2</v>
      </c>
      <c r="E193" s="684">
        <v>2</v>
      </c>
      <c r="F193" t="s">
        <v>21</v>
      </c>
      <c r="G193" s="684">
        <v>1</v>
      </c>
      <c r="H193" s="684">
        <v>51.08</v>
      </c>
      <c r="I193" t="s">
        <v>691</v>
      </c>
    </row>
    <row r="194" spans="1:9">
      <c r="A194" s="177">
        <v>44743</v>
      </c>
      <c r="B194" t="s">
        <v>556</v>
      </c>
      <c r="C194" t="s">
        <v>375</v>
      </c>
      <c r="D194" s="684">
        <v>2</v>
      </c>
      <c r="E194" s="684">
        <v>3</v>
      </c>
      <c r="F194" t="s">
        <v>16</v>
      </c>
      <c r="G194" s="684">
        <v>1</v>
      </c>
      <c r="H194" s="684">
        <v>55.17</v>
      </c>
      <c r="I194" t="s">
        <v>691</v>
      </c>
    </row>
    <row r="195" spans="1:9">
      <c r="A195" s="177">
        <v>44743</v>
      </c>
      <c r="B195" t="s">
        <v>556</v>
      </c>
      <c r="C195" t="s">
        <v>375</v>
      </c>
      <c r="D195" s="684">
        <v>2</v>
      </c>
      <c r="E195" s="684">
        <v>3</v>
      </c>
      <c r="F195" t="s">
        <v>17</v>
      </c>
      <c r="G195" s="684">
        <v>1.0789</v>
      </c>
      <c r="H195" s="684">
        <v>59.52</v>
      </c>
      <c r="I195" t="s">
        <v>691</v>
      </c>
    </row>
    <row r="196" spans="1:9">
      <c r="A196" s="177">
        <v>44743</v>
      </c>
      <c r="B196" t="s">
        <v>556</v>
      </c>
      <c r="C196" t="s">
        <v>375</v>
      </c>
      <c r="D196" s="684">
        <v>2</v>
      </c>
      <c r="E196" s="684">
        <v>3</v>
      </c>
      <c r="F196" t="s">
        <v>18</v>
      </c>
      <c r="G196" s="684">
        <v>1</v>
      </c>
      <c r="H196" s="684">
        <v>55.17</v>
      </c>
      <c r="I196" t="s">
        <v>691</v>
      </c>
    </row>
    <row r="197" spans="1:9">
      <c r="A197" s="177">
        <v>44743</v>
      </c>
      <c r="B197" t="s">
        <v>556</v>
      </c>
      <c r="C197" t="s">
        <v>375</v>
      </c>
      <c r="D197" s="684">
        <v>2</v>
      </c>
      <c r="E197" s="684">
        <v>3</v>
      </c>
      <c r="F197" t="s">
        <v>19</v>
      </c>
      <c r="G197" s="684">
        <v>1</v>
      </c>
      <c r="H197" s="684">
        <v>55.17</v>
      </c>
      <c r="I197" t="s">
        <v>691</v>
      </c>
    </row>
    <row r="198" spans="1:9">
      <c r="A198" s="177">
        <v>44743</v>
      </c>
      <c r="B198" t="s">
        <v>556</v>
      </c>
      <c r="C198" t="s">
        <v>375</v>
      </c>
      <c r="D198" s="684">
        <v>2</v>
      </c>
      <c r="E198" s="684">
        <v>3</v>
      </c>
      <c r="F198" t="s">
        <v>20</v>
      </c>
      <c r="G198" s="684">
        <v>1.0629</v>
      </c>
      <c r="H198" s="684">
        <v>58.64</v>
      </c>
      <c r="I198" t="s">
        <v>691</v>
      </c>
    </row>
    <row r="199" spans="1:9">
      <c r="A199" s="177">
        <v>44743</v>
      </c>
      <c r="B199" t="s">
        <v>556</v>
      </c>
      <c r="C199" t="s">
        <v>375</v>
      </c>
      <c r="D199" s="684">
        <v>2</v>
      </c>
      <c r="E199" s="684">
        <v>3</v>
      </c>
      <c r="F199" t="s">
        <v>21</v>
      </c>
      <c r="G199" s="684">
        <v>1</v>
      </c>
      <c r="H199" s="684">
        <v>55.17</v>
      </c>
      <c r="I199" t="s">
        <v>691</v>
      </c>
    </row>
    <row r="200" spans="1:9">
      <c r="A200" s="177">
        <v>44743</v>
      </c>
      <c r="B200" t="s">
        <v>557</v>
      </c>
      <c r="C200" t="s">
        <v>375</v>
      </c>
      <c r="D200" s="684">
        <v>2</v>
      </c>
      <c r="E200" s="684">
        <v>4</v>
      </c>
      <c r="F200" t="s">
        <v>16</v>
      </c>
      <c r="G200" s="684">
        <v>1</v>
      </c>
      <c r="H200" s="684">
        <v>60.72</v>
      </c>
      <c r="I200" t="s">
        <v>691</v>
      </c>
    </row>
    <row r="201" spans="1:9">
      <c r="A201" s="177">
        <v>44743</v>
      </c>
      <c r="B201" t="s">
        <v>557</v>
      </c>
      <c r="C201" t="s">
        <v>375</v>
      </c>
      <c r="D201" s="684">
        <v>2</v>
      </c>
      <c r="E201" s="684">
        <v>4</v>
      </c>
      <c r="F201" t="s">
        <v>17</v>
      </c>
      <c r="G201" s="684">
        <v>1.0789</v>
      </c>
      <c r="H201" s="684">
        <v>65.510000000000005</v>
      </c>
      <c r="I201" t="s">
        <v>691</v>
      </c>
    </row>
    <row r="202" spans="1:9">
      <c r="A202" s="177">
        <v>44743</v>
      </c>
      <c r="B202" t="s">
        <v>557</v>
      </c>
      <c r="C202" t="s">
        <v>375</v>
      </c>
      <c r="D202" s="684">
        <v>2</v>
      </c>
      <c r="E202" s="684">
        <v>4</v>
      </c>
      <c r="F202" t="s">
        <v>18</v>
      </c>
      <c r="G202" s="684">
        <v>1</v>
      </c>
      <c r="H202" s="684">
        <v>60.72</v>
      </c>
      <c r="I202" t="s">
        <v>691</v>
      </c>
    </row>
    <row r="203" spans="1:9">
      <c r="A203" s="177">
        <v>44743</v>
      </c>
      <c r="B203" t="s">
        <v>557</v>
      </c>
      <c r="C203" t="s">
        <v>375</v>
      </c>
      <c r="D203" s="684">
        <v>2</v>
      </c>
      <c r="E203" s="684">
        <v>4</v>
      </c>
      <c r="F203" t="s">
        <v>19</v>
      </c>
      <c r="G203" s="684">
        <v>1</v>
      </c>
      <c r="H203" s="684">
        <v>60.72</v>
      </c>
      <c r="I203" t="s">
        <v>691</v>
      </c>
    </row>
    <row r="204" spans="1:9">
      <c r="A204" s="177">
        <v>44743</v>
      </c>
      <c r="B204" t="s">
        <v>557</v>
      </c>
      <c r="C204" t="s">
        <v>375</v>
      </c>
      <c r="D204" s="684">
        <v>2</v>
      </c>
      <c r="E204" s="684">
        <v>4</v>
      </c>
      <c r="F204" t="s">
        <v>20</v>
      </c>
      <c r="G204" s="684">
        <v>1.0629</v>
      </c>
      <c r="H204" s="684">
        <v>64.540000000000006</v>
      </c>
      <c r="I204" t="s">
        <v>691</v>
      </c>
    </row>
    <row r="205" spans="1:9">
      <c r="A205" s="177">
        <v>44743</v>
      </c>
      <c r="B205" t="s">
        <v>557</v>
      </c>
      <c r="C205" t="s">
        <v>375</v>
      </c>
      <c r="D205" s="684">
        <v>2</v>
      </c>
      <c r="E205" s="684">
        <v>4</v>
      </c>
      <c r="F205" t="s">
        <v>21</v>
      </c>
      <c r="G205" s="684">
        <v>1</v>
      </c>
      <c r="H205" s="684">
        <v>60.72</v>
      </c>
      <c r="I205" t="s">
        <v>691</v>
      </c>
    </row>
    <row r="206" spans="1:9">
      <c r="A206" s="177">
        <v>44743</v>
      </c>
      <c r="B206" t="s">
        <v>558</v>
      </c>
      <c r="C206" t="s">
        <v>375</v>
      </c>
      <c r="D206" s="684">
        <v>2</v>
      </c>
      <c r="E206" s="684">
        <v>5</v>
      </c>
      <c r="F206" t="s">
        <v>16</v>
      </c>
      <c r="G206" s="684">
        <v>1</v>
      </c>
      <c r="H206" s="684">
        <v>65.58</v>
      </c>
      <c r="I206" t="s">
        <v>691</v>
      </c>
    </row>
    <row r="207" spans="1:9">
      <c r="A207" s="177">
        <v>44743</v>
      </c>
      <c r="B207" t="s">
        <v>558</v>
      </c>
      <c r="C207" t="s">
        <v>375</v>
      </c>
      <c r="D207" s="684">
        <v>2</v>
      </c>
      <c r="E207" s="684">
        <v>5</v>
      </c>
      <c r="F207" t="s">
        <v>17</v>
      </c>
      <c r="G207" s="684">
        <v>1.0789</v>
      </c>
      <c r="H207" s="684">
        <v>70.75</v>
      </c>
      <c r="I207" t="s">
        <v>691</v>
      </c>
    </row>
    <row r="208" spans="1:9">
      <c r="A208" s="177">
        <v>44743</v>
      </c>
      <c r="B208" t="s">
        <v>558</v>
      </c>
      <c r="C208" t="s">
        <v>375</v>
      </c>
      <c r="D208" s="684">
        <v>2</v>
      </c>
      <c r="E208" s="684">
        <v>5</v>
      </c>
      <c r="F208" t="s">
        <v>18</v>
      </c>
      <c r="G208" s="684">
        <v>1</v>
      </c>
      <c r="H208" s="684">
        <v>65.58</v>
      </c>
      <c r="I208" t="s">
        <v>691</v>
      </c>
    </row>
    <row r="209" spans="1:9">
      <c r="A209" s="177">
        <v>44743</v>
      </c>
      <c r="B209" t="s">
        <v>558</v>
      </c>
      <c r="C209" t="s">
        <v>375</v>
      </c>
      <c r="D209" s="684">
        <v>2</v>
      </c>
      <c r="E209" s="684">
        <v>5</v>
      </c>
      <c r="F209" t="s">
        <v>19</v>
      </c>
      <c r="G209" s="684">
        <v>1</v>
      </c>
      <c r="H209" s="684">
        <v>65.58</v>
      </c>
      <c r="I209" t="s">
        <v>691</v>
      </c>
    </row>
    <row r="210" spans="1:9">
      <c r="A210" s="177">
        <v>44743</v>
      </c>
      <c r="B210" t="s">
        <v>558</v>
      </c>
      <c r="C210" t="s">
        <v>375</v>
      </c>
      <c r="D210" s="684">
        <v>2</v>
      </c>
      <c r="E210" s="684">
        <v>5</v>
      </c>
      <c r="F210" t="s">
        <v>20</v>
      </c>
      <c r="G210" s="684">
        <v>1.0629</v>
      </c>
      <c r="H210" s="684">
        <v>69.7</v>
      </c>
      <c r="I210" t="s">
        <v>691</v>
      </c>
    </row>
    <row r="211" spans="1:9">
      <c r="A211" s="177">
        <v>44743</v>
      </c>
      <c r="B211" t="s">
        <v>558</v>
      </c>
      <c r="C211" t="s">
        <v>375</v>
      </c>
      <c r="D211" s="684">
        <v>2</v>
      </c>
      <c r="E211" s="684">
        <v>5</v>
      </c>
      <c r="F211" t="s">
        <v>21</v>
      </c>
      <c r="G211" s="684">
        <v>1</v>
      </c>
      <c r="H211" s="684">
        <v>65.58</v>
      </c>
      <c r="I211" t="s">
        <v>691</v>
      </c>
    </row>
    <row r="212" spans="1:9">
      <c r="A212" s="177">
        <v>44743</v>
      </c>
      <c r="B212" t="s">
        <v>559</v>
      </c>
      <c r="C212" t="s">
        <v>375</v>
      </c>
      <c r="D212" s="684">
        <v>3</v>
      </c>
      <c r="E212" s="684">
        <v>1</v>
      </c>
      <c r="F212" t="s">
        <v>16</v>
      </c>
      <c r="G212" s="684">
        <v>1</v>
      </c>
      <c r="H212" s="684">
        <v>82.74</v>
      </c>
      <c r="I212" t="s">
        <v>691</v>
      </c>
    </row>
    <row r="213" spans="1:9">
      <c r="A213" s="177">
        <v>44743</v>
      </c>
      <c r="B213" t="s">
        <v>559</v>
      </c>
      <c r="C213" t="s">
        <v>375</v>
      </c>
      <c r="D213" s="684">
        <v>3</v>
      </c>
      <c r="E213" s="684">
        <v>1</v>
      </c>
      <c r="F213" t="s">
        <v>17</v>
      </c>
      <c r="G213" s="684">
        <v>1.0789</v>
      </c>
      <c r="H213" s="684">
        <v>89.27</v>
      </c>
      <c r="I213" t="s">
        <v>691</v>
      </c>
    </row>
    <row r="214" spans="1:9">
      <c r="A214" s="177">
        <v>44743</v>
      </c>
      <c r="B214" t="s">
        <v>559</v>
      </c>
      <c r="C214" t="s">
        <v>375</v>
      </c>
      <c r="D214" s="684">
        <v>3</v>
      </c>
      <c r="E214" s="684">
        <v>1</v>
      </c>
      <c r="F214" t="s">
        <v>18</v>
      </c>
      <c r="G214" s="684">
        <v>1</v>
      </c>
      <c r="H214" s="684">
        <v>82.74</v>
      </c>
      <c r="I214" t="s">
        <v>691</v>
      </c>
    </row>
    <row r="215" spans="1:9">
      <c r="A215" s="177">
        <v>44743</v>
      </c>
      <c r="B215" t="s">
        <v>559</v>
      </c>
      <c r="C215" t="s">
        <v>375</v>
      </c>
      <c r="D215" s="684">
        <v>3</v>
      </c>
      <c r="E215" s="684">
        <v>1</v>
      </c>
      <c r="F215" t="s">
        <v>19</v>
      </c>
      <c r="G215" s="684">
        <v>1</v>
      </c>
      <c r="H215" s="684">
        <v>82.74</v>
      </c>
      <c r="I215" t="s">
        <v>691</v>
      </c>
    </row>
    <row r="216" spans="1:9">
      <c r="A216" s="177">
        <v>44743</v>
      </c>
      <c r="B216" t="s">
        <v>559</v>
      </c>
      <c r="C216" t="s">
        <v>375</v>
      </c>
      <c r="D216" s="684">
        <v>3</v>
      </c>
      <c r="E216" s="684">
        <v>1</v>
      </c>
      <c r="F216" t="s">
        <v>20</v>
      </c>
      <c r="G216" s="684">
        <v>1.0629</v>
      </c>
      <c r="H216" s="684">
        <v>87.94</v>
      </c>
      <c r="I216" t="s">
        <v>691</v>
      </c>
    </row>
    <row r="217" spans="1:9">
      <c r="A217" s="177">
        <v>44743</v>
      </c>
      <c r="B217" t="s">
        <v>559</v>
      </c>
      <c r="C217" t="s">
        <v>375</v>
      </c>
      <c r="D217" s="684">
        <v>3</v>
      </c>
      <c r="E217" s="684">
        <v>1</v>
      </c>
      <c r="F217" t="s">
        <v>21</v>
      </c>
      <c r="G217" s="684">
        <v>1</v>
      </c>
      <c r="H217" s="684">
        <v>82.74</v>
      </c>
      <c r="I217" t="s">
        <v>691</v>
      </c>
    </row>
    <row r="218" spans="1:9">
      <c r="A218" s="177">
        <v>44743</v>
      </c>
      <c r="B218" t="s">
        <v>560</v>
      </c>
      <c r="C218" t="s">
        <v>375</v>
      </c>
      <c r="D218" s="684">
        <v>3</v>
      </c>
      <c r="E218" s="684">
        <v>2</v>
      </c>
      <c r="F218" t="s">
        <v>16</v>
      </c>
      <c r="G218" s="684">
        <v>1</v>
      </c>
      <c r="H218" s="684">
        <v>85.31</v>
      </c>
      <c r="I218" t="s">
        <v>691</v>
      </c>
    </row>
    <row r="219" spans="1:9">
      <c r="A219" s="177">
        <v>44743</v>
      </c>
      <c r="B219" t="s">
        <v>560</v>
      </c>
      <c r="C219" t="s">
        <v>375</v>
      </c>
      <c r="D219" s="684">
        <v>3</v>
      </c>
      <c r="E219" s="684">
        <v>2</v>
      </c>
      <c r="F219" t="s">
        <v>17</v>
      </c>
      <c r="G219" s="684">
        <v>1.0789</v>
      </c>
      <c r="H219" s="684">
        <v>92.04</v>
      </c>
      <c r="I219" t="s">
        <v>691</v>
      </c>
    </row>
    <row r="220" spans="1:9">
      <c r="A220" s="177">
        <v>44743</v>
      </c>
      <c r="B220" t="s">
        <v>560</v>
      </c>
      <c r="C220" t="s">
        <v>375</v>
      </c>
      <c r="D220" s="684">
        <v>3</v>
      </c>
      <c r="E220" s="684">
        <v>2</v>
      </c>
      <c r="F220" t="s">
        <v>18</v>
      </c>
      <c r="G220" s="684">
        <v>1</v>
      </c>
      <c r="H220" s="684">
        <v>85.31</v>
      </c>
      <c r="I220" t="s">
        <v>691</v>
      </c>
    </row>
    <row r="221" spans="1:9">
      <c r="A221" s="177">
        <v>44743</v>
      </c>
      <c r="B221" t="s">
        <v>560</v>
      </c>
      <c r="C221" t="s">
        <v>375</v>
      </c>
      <c r="D221" s="684">
        <v>3</v>
      </c>
      <c r="E221" s="684">
        <v>2</v>
      </c>
      <c r="F221" t="s">
        <v>19</v>
      </c>
      <c r="G221" s="684">
        <v>1</v>
      </c>
      <c r="H221" s="684">
        <v>85.31</v>
      </c>
      <c r="I221" t="s">
        <v>691</v>
      </c>
    </row>
    <row r="222" spans="1:9">
      <c r="A222" s="177">
        <v>44743</v>
      </c>
      <c r="B222" t="s">
        <v>560</v>
      </c>
      <c r="C222" t="s">
        <v>375</v>
      </c>
      <c r="D222" s="684">
        <v>3</v>
      </c>
      <c r="E222" s="684">
        <v>2</v>
      </c>
      <c r="F222" t="s">
        <v>20</v>
      </c>
      <c r="G222" s="684">
        <v>1.0629</v>
      </c>
      <c r="H222" s="684">
        <v>90.68</v>
      </c>
      <c r="I222" t="s">
        <v>691</v>
      </c>
    </row>
    <row r="223" spans="1:9">
      <c r="A223" s="177">
        <v>44743</v>
      </c>
      <c r="B223" t="s">
        <v>560</v>
      </c>
      <c r="C223" t="s">
        <v>375</v>
      </c>
      <c r="D223" s="684">
        <v>3</v>
      </c>
      <c r="E223" s="684">
        <v>2</v>
      </c>
      <c r="F223" t="s">
        <v>21</v>
      </c>
      <c r="G223" s="684">
        <v>1</v>
      </c>
      <c r="H223" s="684">
        <v>85.31</v>
      </c>
      <c r="I223" t="s">
        <v>691</v>
      </c>
    </row>
    <row r="224" spans="1:9">
      <c r="A224" s="177">
        <v>44743</v>
      </c>
      <c r="B224" t="s">
        <v>561</v>
      </c>
      <c r="C224" t="s">
        <v>375</v>
      </c>
      <c r="D224" s="684">
        <v>3</v>
      </c>
      <c r="E224" s="684">
        <v>3</v>
      </c>
      <c r="F224" t="s">
        <v>16</v>
      </c>
      <c r="G224" s="684">
        <v>1</v>
      </c>
      <c r="H224" s="684">
        <v>89.36</v>
      </c>
      <c r="I224" t="s">
        <v>691</v>
      </c>
    </row>
    <row r="225" spans="1:9">
      <c r="A225" s="177">
        <v>44743</v>
      </c>
      <c r="B225" t="s">
        <v>561</v>
      </c>
      <c r="C225" t="s">
        <v>375</v>
      </c>
      <c r="D225" s="684">
        <v>3</v>
      </c>
      <c r="E225" s="684">
        <v>3</v>
      </c>
      <c r="F225" t="s">
        <v>17</v>
      </c>
      <c r="G225" s="684">
        <v>1.0789</v>
      </c>
      <c r="H225" s="684">
        <v>96.41</v>
      </c>
      <c r="I225" t="s">
        <v>691</v>
      </c>
    </row>
    <row r="226" spans="1:9">
      <c r="A226" s="177">
        <v>44743</v>
      </c>
      <c r="B226" t="s">
        <v>561</v>
      </c>
      <c r="C226" t="s">
        <v>375</v>
      </c>
      <c r="D226" s="684">
        <v>3</v>
      </c>
      <c r="E226" s="684">
        <v>3</v>
      </c>
      <c r="F226" t="s">
        <v>18</v>
      </c>
      <c r="G226" s="684">
        <v>1</v>
      </c>
      <c r="H226" s="684">
        <v>89.36</v>
      </c>
      <c r="I226" t="s">
        <v>691</v>
      </c>
    </row>
    <row r="227" spans="1:9">
      <c r="A227" s="177">
        <v>44743</v>
      </c>
      <c r="B227" t="s">
        <v>561</v>
      </c>
      <c r="C227" t="s">
        <v>375</v>
      </c>
      <c r="D227" s="684">
        <v>3</v>
      </c>
      <c r="E227" s="684">
        <v>3</v>
      </c>
      <c r="F227" t="s">
        <v>19</v>
      </c>
      <c r="G227" s="684">
        <v>1</v>
      </c>
      <c r="H227" s="684">
        <v>89.36</v>
      </c>
      <c r="I227" t="s">
        <v>691</v>
      </c>
    </row>
    <row r="228" spans="1:9">
      <c r="A228" s="177">
        <v>44743</v>
      </c>
      <c r="B228" t="s">
        <v>561</v>
      </c>
      <c r="C228" t="s">
        <v>375</v>
      </c>
      <c r="D228" s="684">
        <v>3</v>
      </c>
      <c r="E228" s="684">
        <v>3</v>
      </c>
      <c r="F228" t="s">
        <v>20</v>
      </c>
      <c r="G228" s="684">
        <v>1.0629</v>
      </c>
      <c r="H228" s="684">
        <v>94.98</v>
      </c>
      <c r="I228" t="s">
        <v>691</v>
      </c>
    </row>
    <row r="229" spans="1:9">
      <c r="A229" s="177">
        <v>44743</v>
      </c>
      <c r="B229" t="s">
        <v>561</v>
      </c>
      <c r="C229" t="s">
        <v>375</v>
      </c>
      <c r="D229" s="684">
        <v>3</v>
      </c>
      <c r="E229" s="684">
        <v>3</v>
      </c>
      <c r="F229" t="s">
        <v>21</v>
      </c>
      <c r="G229" s="684">
        <v>1</v>
      </c>
      <c r="H229" s="684">
        <v>89.36</v>
      </c>
      <c r="I229" t="s">
        <v>691</v>
      </c>
    </row>
    <row r="230" spans="1:9">
      <c r="A230" s="177">
        <v>44743</v>
      </c>
      <c r="B230" t="s">
        <v>562</v>
      </c>
      <c r="C230" t="s">
        <v>375</v>
      </c>
      <c r="D230" s="684">
        <v>3</v>
      </c>
      <c r="E230" s="684">
        <v>4</v>
      </c>
      <c r="F230" t="s">
        <v>16</v>
      </c>
      <c r="G230" s="684">
        <v>1</v>
      </c>
      <c r="H230" s="684">
        <v>94.89</v>
      </c>
      <c r="I230" t="s">
        <v>691</v>
      </c>
    </row>
    <row r="231" spans="1:9">
      <c r="A231" s="177">
        <v>44743</v>
      </c>
      <c r="B231" t="s">
        <v>562</v>
      </c>
      <c r="C231" t="s">
        <v>375</v>
      </c>
      <c r="D231" s="684">
        <v>3</v>
      </c>
      <c r="E231" s="684">
        <v>4</v>
      </c>
      <c r="F231" t="s">
        <v>17</v>
      </c>
      <c r="G231" s="684">
        <v>1.0789</v>
      </c>
      <c r="H231" s="684">
        <v>102.38</v>
      </c>
      <c r="I231" t="s">
        <v>691</v>
      </c>
    </row>
    <row r="232" spans="1:9">
      <c r="A232" s="177">
        <v>44743</v>
      </c>
      <c r="B232" t="s">
        <v>562</v>
      </c>
      <c r="C232" t="s">
        <v>375</v>
      </c>
      <c r="D232" s="684">
        <v>3</v>
      </c>
      <c r="E232" s="684">
        <v>4</v>
      </c>
      <c r="F232" t="s">
        <v>18</v>
      </c>
      <c r="G232" s="684">
        <v>1</v>
      </c>
      <c r="H232" s="684">
        <v>94.89</v>
      </c>
      <c r="I232" t="s">
        <v>691</v>
      </c>
    </row>
    <row r="233" spans="1:9">
      <c r="A233" s="177">
        <v>44743</v>
      </c>
      <c r="B233" t="s">
        <v>562</v>
      </c>
      <c r="C233" t="s">
        <v>375</v>
      </c>
      <c r="D233" s="684">
        <v>3</v>
      </c>
      <c r="E233" s="684">
        <v>4</v>
      </c>
      <c r="F233" t="s">
        <v>19</v>
      </c>
      <c r="G233" s="684">
        <v>1</v>
      </c>
      <c r="H233" s="684">
        <v>94.89</v>
      </c>
      <c r="I233" t="s">
        <v>691</v>
      </c>
    </row>
    <row r="234" spans="1:9">
      <c r="A234" s="177">
        <v>44743</v>
      </c>
      <c r="B234" t="s">
        <v>562</v>
      </c>
      <c r="C234" t="s">
        <v>375</v>
      </c>
      <c r="D234" s="684">
        <v>3</v>
      </c>
      <c r="E234" s="684">
        <v>4</v>
      </c>
      <c r="F234" t="s">
        <v>20</v>
      </c>
      <c r="G234" s="684">
        <v>1.0629</v>
      </c>
      <c r="H234" s="684">
        <v>100.86</v>
      </c>
      <c r="I234" t="s">
        <v>691</v>
      </c>
    </row>
    <row r="235" spans="1:9">
      <c r="A235" s="177">
        <v>44743</v>
      </c>
      <c r="B235" t="s">
        <v>562</v>
      </c>
      <c r="C235" t="s">
        <v>375</v>
      </c>
      <c r="D235" s="684">
        <v>3</v>
      </c>
      <c r="E235" s="684">
        <v>4</v>
      </c>
      <c r="F235" t="s">
        <v>21</v>
      </c>
      <c r="G235" s="684">
        <v>1</v>
      </c>
      <c r="H235" s="684">
        <v>94.89</v>
      </c>
      <c r="I235" t="s">
        <v>691</v>
      </c>
    </row>
    <row r="236" spans="1:9">
      <c r="A236" s="177">
        <v>44743</v>
      </c>
      <c r="B236" t="s">
        <v>563</v>
      </c>
      <c r="C236" t="s">
        <v>375</v>
      </c>
      <c r="D236" s="684">
        <v>3</v>
      </c>
      <c r="E236" s="684">
        <v>5</v>
      </c>
      <c r="F236" t="s">
        <v>16</v>
      </c>
      <c r="G236" s="684">
        <v>1</v>
      </c>
      <c r="H236" s="684">
        <v>99.8</v>
      </c>
      <c r="I236" t="s">
        <v>691</v>
      </c>
    </row>
    <row r="237" spans="1:9">
      <c r="A237" s="177">
        <v>44743</v>
      </c>
      <c r="B237" t="s">
        <v>563</v>
      </c>
      <c r="C237" t="s">
        <v>375</v>
      </c>
      <c r="D237" s="684">
        <v>3</v>
      </c>
      <c r="E237" s="684">
        <v>5</v>
      </c>
      <c r="F237" t="s">
        <v>17</v>
      </c>
      <c r="G237" s="684">
        <v>1.0789</v>
      </c>
      <c r="H237" s="684">
        <v>107.67</v>
      </c>
      <c r="I237" t="s">
        <v>691</v>
      </c>
    </row>
    <row r="238" spans="1:9">
      <c r="A238" s="177">
        <v>44743</v>
      </c>
      <c r="B238" t="s">
        <v>563</v>
      </c>
      <c r="C238" t="s">
        <v>375</v>
      </c>
      <c r="D238" s="684">
        <v>3</v>
      </c>
      <c r="E238" s="684">
        <v>5</v>
      </c>
      <c r="F238" t="s">
        <v>18</v>
      </c>
      <c r="G238" s="684">
        <v>1</v>
      </c>
      <c r="H238" s="684">
        <v>99.8</v>
      </c>
      <c r="I238" t="s">
        <v>691</v>
      </c>
    </row>
    <row r="239" spans="1:9">
      <c r="A239" s="177">
        <v>44743</v>
      </c>
      <c r="B239" t="s">
        <v>563</v>
      </c>
      <c r="C239" t="s">
        <v>375</v>
      </c>
      <c r="D239" s="684">
        <v>3</v>
      </c>
      <c r="E239" s="684">
        <v>5</v>
      </c>
      <c r="F239" t="s">
        <v>19</v>
      </c>
      <c r="G239" s="684">
        <v>1</v>
      </c>
      <c r="H239" s="684">
        <v>99.8</v>
      </c>
      <c r="I239" t="s">
        <v>691</v>
      </c>
    </row>
    <row r="240" spans="1:9">
      <c r="A240" s="177">
        <v>44743</v>
      </c>
      <c r="B240" t="s">
        <v>563</v>
      </c>
      <c r="C240" t="s">
        <v>375</v>
      </c>
      <c r="D240" s="684">
        <v>3</v>
      </c>
      <c r="E240" s="684">
        <v>5</v>
      </c>
      <c r="F240" t="s">
        <v>20</v>
      </c>
      <c r="G240" s="684">
        <v>1.0629</v>
      </c>
      <c r="H240" s="684">
        <v>106.08</v>
      </c>
      <c r="I240" t="s">
        <v>691</v>
      </c>
    </row>
    <row r="241" spans="1:9">
      <c r="A241" s="177">
        <v>44743</v>
      </c>
      <c r="B241" t="s">
        <v>563</v>
      </c>
      <c r="C241" t="s">
        <v>375</v>
      </c>
      <c r="D241" s="684">
        <v>3</v>
      </c>
      <c r="E241" s="684">
        <v>5</v>
      </c>
      <c r="F241" t="s">
        <v>21</v>
      </c>
      <c r="G241" s="684">
        <v>1</v>
      </c>
      <c r="H241" s="684">
        <v>99.8</v>
      </c>
      <c r="I241" t="s">
        <v>691</v>
      </c>
    </row>
    <row r="242" spans="1:9">
      <c r="A242" s="177">
        <v>44743</v>
      </c>
      <c r="B242" t="s">
        <v>564</v>
      </c>
      <c r="C242" t="s">
        <v>375</v>
      </c>
      <c r="D242" s="684">
        <v>4</v>
      </c>
      <c r="E242" s="684">
        <v>1</v>
      </c>
      <c r="F242" t="s">
        <v>16</v>
      </c>
      <c r="G242" s="684">
        <v>1</v>
      </c>
      <c r="H242" s="684">
        <v>134.03</v>
      </c>
      <c r="I242" t="s">
        <v>691</v>
      </c>
    </row>
    <row r="243" spans="1:9">
      <c r="A243" s="177">
        <v>44743</v>
      </c>
      <c r="B243" t="s">
        <v>564</v>
      </c>
      <c r="C243" t="s">
        <v>375</v>
      </c>
      <c r="D243" s="684">
        <v>4</v>
      </c>
      <c r="E243" s="684">
        <v>1</v>
      </c>
      <c r="F243" t="s">
        <v>17</v>
      </c>
      <c r="G243" s="684">
        <v>1.0789</v>
      </c>
      <c r="H243" s="684">
        <v>144.6</v>
      </c>
      <c r="I243" t="s">
        <v>691</v>
      </c>
    </row>
    <row r="244" spans="1:9">
      <c r="A244" s="177">
        <v>44743</v>
      </c>
      <c r="B244" t="s">
        <v>564</v>
      </c>
      <c r="C244" t="s">
        <v>375</v>
      </c>
      <c r="D244" s="684">
        <v>4</v>
      </c>
      <c r="E244" s="684">
        <v>1</v>
      </c>
      <c r="F244" t="s">
        <v>18</v>
      </c>
      <c r="G244" s="684">
        <v>1</v>
      </c>
      <c r="H244" s="684">
        <v>134.03</v>
      </c>
      <c r="I244" t="s">
        <v>691</v>
      </c>
    </row>
    <row r="245" spans="1:9">
      <c r="A245" s="177">
        <v>44743</v>
      </c>
      <c r="B245" t="s">
        <v>564</v>
      </c>
      <c r="C245" t="s">
        <v>375</v>
      </c>
      <c r="D245" s="684">
        <v>4</v>
      </c>
      <c r="E245" s="684">
        <v>1</v>
      </c>
      <c r="F245" t="s">
        <v>19</v>
      </c>
      <c r="G245" s="684">
        <v>1</v>
      </c>
      <c r="H245" s="684">
        <v>134.03</v>
      </c>
      <c r="I245" t="s">
        <v>691</v>
      </c>
    </row>
    <row r="246" spans="1:9">
      <c r="A246" s="177">
        <v>44743</v>
      </c>
      <c r="B246" t="s">
        <v>564</v>
      </c>
      <c r="C246" t="s">
        <v>375</v>
      </c>
      <c r="D246" s="684">
        <v>4</v>
      </c>
      <c r="E246" s="684">
        <v>1</v>
      </c>
      <c r="F246" t="s">
        <v>20</v>
      </c>
      <c r="G246" s="684">
        <v>1.0629</v>
      </c>
      <c r="H246" s="684">
        <v>142.46</v>
      </c>
      <c r="I246" t="s">
        <v>691</v>
      </c>
    </row>
    <row r="247" spans="1:9">
      <c r="A247" s="177">
        <v>44743</v>
      </c>
      <c r="B247" t="s">
        <v>564</v>
      </c>
      <c r="C247" t="s">
        <v>375</v>
      </c>
      <c r="D247" s="684">
        <v>4</v>
      </c>
      <c r="E247" s="684">
        <v>1</v>
      </c>
      <c r="F247" t="s">
        <v>21</v>
      </c>
      <c r="G247" s="684">
        <v>1</v>
      </c>
      <c r="H247" s="684">
        <v>134.03</v>
      </c>
      <c r="I247" t="s">
        <v>691</v>
      </c>
    </row>
    <row r="248" spans="1:9">
      <c r="A248" s="177">
        <v>44743</v>
      </c>
      <c r="B248" t="s">
        <v>565</v>
      </c>
      <c r="C248" t="s">
        <v>375</v>
      </c>
      <c r="D248" s="684">
        <v>4</v>
      </c>
      <c r="E248" s="684">
        <v>2</v>
      </c>
      <c r="F248" t="s">
        <v>16</v>
      </c>
      <c r="G248" s="684">
        <v>1</v>
      </c>
      <c r="H248" s="684">
        <v>136.58000000000001</v>
      </c>
      <c r="I248" t="s">
        <v>691</v>
      </c>
    </row>
    <row r="249" spans="1:9">
      <c r="A249" s="177">
        <v>44743</v>
      </c>
      <c r="B249" t="s">
        <v>565</v>
      </c>
      <c r="C249" t="s">
        <v>375</v>
      </c>
      <c r="D249" s="684">
        <v>4</v>
      </c>
      <c r="E249" s="684">
        <v>2</v>
      </c>
      <c r="F249" t="s">
        <v>17</v>
      </c>
      <c r="G249" s="684">
        <v>1.0789</v>
      </c>
      <c r="H249" s="684">
        <v>147.36000000000001</v>
      </c>
      <c r="I249" t="s">
        <v>691</v>
      </c>
    </row>
    <row r="250" spans="1:9">
      <c r="A250" s="177">
        <v>44743</v>
      </c>
      <c r="B250" t="s">
        <v>565</v>
      </c>
      <c r="C250" t="s">
        <v>375</v>
      </c>
      <c r="D250" s="684">
        <v>4</v>
      </c>
      <c r="E250" s="684">
        <v>2</v>
      </c>
      <c r="F250" t="s">
        <v>18</v>
      </c>
      <c r="G250" s="684">
        <v>1</v>
      </c>
      <c r="H250" s="684">
        <v>136.58000000000001</v>
      </c>
      <c r="I250" t="s">
        <v>691</v>
      </c>
    </row>
    <row r="251" spans="1:9">
      <c r="A251" s="177">
        <v>44743</v>
      </c>
      <c r="B251" t="s">
        <v>565</v>
      </c>
      <c r="C251" t="s">
        <v>375</v>
      </c>
      <c r="D251" s="684">
        <v>4</v>
      </c>
      <c r="E251" s="684">
        <v>2</v>
      </c>
      <c r="F251" t="s">
        <v>19</v>
      </c>
      <c r="G251" s="684">
        <v>1</v>
      </c>
      <c r="H251" s="684">
        <v>136.58000000000001</v>
      </c>
      <c r="I251" t="s">
        <v>691</v>
      </c>
    </row>
    <row r="252" spans="1:9">
      <c r="A252" s="177">
        <v>44743</v>
      </c>
      <c r="B252" t="s">
        <v>565</v>
      </c>
      <c r="C252" t="s">
        <v>375</v>
      </c>
      <c r="D252" s="684">
        <v>4</v>
      </c>
      <c r="E252" s="684">
        <v>2</v>
      </c>
      <c r="F252" t="s">
        <v>20</v>
      </c>
      <c r="G252" s="684">
        <v>1.0629</v>
      </c>
      <c r="H252" s="684">
        <v>145.16999999999999</v>
      </c>
      <c r="I252" t="s">
        <v>691</v>
      </c>
    </row>
    <row r="253" spans="1:9">
      <c r="A253" s="177">
        <v>44743</v>
      </c>
      <c r="B253" t="s">
        <v>565</v>
      </c>
      <c r="C253" t="s">
        <v>375</v>
      </c>
      <c r="D253" s="684">
        <v>4</v>
      </c>
      <c r="E253" s="684">
        <v>2</v>
      </c>
      <c r="F253" t="s">
        <v>21</v>
      </c>
      <c r="G253" s="684">
        <v>1</v>
      </c>
      <c r="H253" s="684">
        <v>136.58000000000001</v>
      </c>
      <c r="I253" t="s">
        <v>691</v>
      </c>
    </row>
    <row r="254" spans="1:9">
      <c r="A254" s="177">
        <v>44743</v>
      </c>
      <c r="B254" t="s">
        <v>566</v>
      </c>
      <c r="C254" t="s">
        <v>375</v>
      </c>
      <c r="D254" s="684">
        <v>4</v>
      </c>
      <c r="E254" s="684">
        <v>3</v>
      </c>
      <c r="F254" t="s">
        <v>16</v>
      </c>
      <c r="G254" s="684">
        <v>1</v>
      </c>
      <c r="H254" s="684">
        <v>140.68</v>
      </c>
      <c r="I254" t="s">
        <v>691</v>
      </c>
    </row>
    <row r="255" spans="1:9">
      <c r="A255" s="177">
        <v>44743</v>
      </c>
      <c r="B255" t="s">
        <v>566</v>
      </c>
      <c r="C255" t="s">
        <v>375</v>
      </c>
      <c r="D255" s="684">
        <v>4</v>
      </c>
      <c r="E255" s="684">
        <v>3</v>
      </c>
      <c r="F255" t="s">
        <v>17</v>
      </c>
      <c r="G255" s="684">
        <v>1.0789</v>
      </c>
      <c r="H255" s="684">
        <v>151.78</v>
      </c>
      <c r="I255" t="s">
        <v>691</v>
      </c>
    </row>
    <row r="256" spans="1:9">
      <c r="A256" s="177">
        <v>44743</v>
      </c>
      <c r="B256" t="s">
        <v>566</v>
      </c>
      <c r="C256" t="s">
        <v>375</v>
      </c>
      <c r="D256" s="684">
        <v>4</v>
      </c>
      <c r="E256" s="684">
        <v>3</v>
      </c>
      <c r="F256" t="s">
        <v>18</v>
      </c>
      <c r="G256" s="684">
        <v>1</v>
      </c>
      <c r="H256" s="684">
        <v>140.68</v>
      </c>
      <c r="I256" t="s">
        <v>691</v>
      </c>
    </row>
    <row r="257" spans="1:9">
      <c r="A257" s="177">
        <v>44743</v>
      </c>
      <c r="B257" t="s">
        <v>566</v>
      </c>
      <c r="C257" t="s">
        <v>375</v>
      </c>
      <c r="D257" s="684">
        <v>4</v>
      </c>
      <c r="E257" s="684">
        <v>3</v>
      </c>
      <c r="F257" t="s">
        <v>19</v>
      </c>
      <c r="G257" s="684">
        <v>1</v>
      </c>
      <c r="H257" s="684">
        <v>140.68</v>
      </c>
      <c r="I257" t="s">
        <v>691</v>
      </c>
    </row>
    <row r="258" spans="1:9">
      <c r="A258" s="177">
        <v>44743</v>
      </c>
      <c r="B258" t="s">
        <v>566</v>
      </c>
      <c r="C258" t="s">
        <v>375</v>
      </c>
      <c r="D258" s="684">
        <v>4</v>
      </c>
      <c r="E258" s="684">
        <v>3</v>
      </c>
      <c r="F258" t="s">
        <v>20</v>
      </c>
      <c r="G258" s="684">
        <v>1.0629</v>
      </c>
      <c r="H258" s="684">
        <v>149.53</v>
      </c>
      <c r="I258" t="s">
        <v>691</v>
      </c>
    </row>
    <row r="259" spans="1:9">
      <c r="A259" s="177">
        <v>44743</v>
      </c>
      <c r="B259" t="s">
        <v>566</v>
      </c>
      <c r="C259" t="s">
        <v>375</v>
      </c>
      <c r="D259" s="684">
        <v>4</v>
      </c>
      <c r="E259" s="684">
        <v>3</v>
      </c>
      <c r="F259" t="s">
        <v>21</v>
      </c>
      <c r="G259" s="684">
        <v>1</v>
      </c>
      <c r="H259" s="684">
        <v>140.68</v>
      </c>
      <c r="I259" t="s">
        <v>691</v>
      </c>
    </row>
    <row r="260" spans="1:9">
      <c r="A260" s="177">
        <v>44743</v>
      </c>
      <c r="B260" t="s">
        <v>567</v>
      </c>
      <c r="C260" t="s">
        <v>375</v>
      </c>
      <c r="D260" s="684">
        <v>4</v>
      </c>
      <c r="E260" s="684">
        <v>4</v>
      </c>
      <c r="F260" t="s">
        <v>16</v>
      </c>
      <c r="G260" s="684">
        <v>1</v>
      </c>
      <c r="H260" s="684">
        <v>146.22</v>
      </c>
      <c r="I260" t="s">
        <v>691</v>
      </c>
    </row>
    <row r="261" spans="1:9">
      <c r="A261" s="177">
        <v>44743</v>
      </c>
      <c r="B261" t="s">
        <v>567</v>
      </c>
      <c r="C261" t="s">
        <v>375</v>
      </c>
      <c r="D261" s="684">
        <v>4</v>
      </c>
      <c r="E261" s="684">
        <v>4</v>
      </c>
      <c r="F261" t="s">
        <v>17</v>
      </c>
      <c r="G261" s="684">
        <v>1.0789</v>
      </c>
      <c r="H261" s="684">
        <v>157.76</v>
      </c>
      <c r="I261" t="s">
        <v>691</v>
      </c>
    </row>
    <row r="262" spans="1:9">
      <c r="A262" s="177">
        <v>44743</v>
      </c>
      <c r="B262" t="s">
        <v>567</v>
      </c>
      <c r="C262" t="s">
        <v>375</v>
      </c>
      <c r="D262" s="684">
        <v>4</v>
      </c>
      <c r="E262" s="684">
        <v>4</v>
      </c>
      <c r="F262" t="s">
        <v>18</v>
      </c>
      <c r="G262" s="684">
        <v>1</v>
      </c>
      <c r="H262" s="684">
        <v>146.22</v>
      </c>
      <c r="I262" t="s">
        <v>691</v>
      </c>
    </row>
    <row r="263" spans="1:9">
      <c r="A263" s="177">
        <v>44743</v>
      </c>
      <c r="B263" t="s">
        <v>567</v>
      </c>
      <c r="C263" t="s">
        <v>375</v>
      </c>
      <c r="D263" s="684">
        <v>4</v>
      </c>
      <c r="E263" s="684">
        <v>4</v>
      </c>
      <c r="F263" t="s">
        <v>19</v>
      </c>
      <c r="G263" s="684">
        <v>1</v>
      </c>
      <c r="H263" s="684">
        <v>146.22</v>
      </c>
      <c r="I263" t="s">
        <v>691</v>
      </c>
    </row>
    <row r="264" spans="1:9">
      <c r="A264" s="177">
        <v>44743</v>
      </c>
      <c r="B264" t="s">
        <v>567</v>
      </c>
      <c r="C264" t="s">
        <v>375</v>
      </c>
      <c r="D264" s="684">
        <v>4</v>
      </c>
      <c r="E264" s="684">
        <v>4</v>
      </c>
      <c r="F264" t="s">
        <v>20</v>
      </c>
      <c r="G264" s="684">
        <v>1.0629</v>
      </c>
      <c r="H264" s="684">
        <v>155.41999999999999</v>
      </c>
      <c r="I264" t="s">
        <v>691</v>
      </c>
    </row>
    <row r="265" spans="1:9">
      <c r="A265" s="177">
        <v>44743</v>
      </c>
      <c r="B265" t="s">
        <v>567</v>
      </c>
      <c r="C265" t="s">
        <v>375</v>
      </c>
      <c r="D265" s="684">
        <v>4</v>
      </c>
      <c r="E265" s="684">
        <v>4</v>
      </c>
      <c r="F265" t="s">
        <v>21</v>
      </c>
      <c r="G265" s="684">
        <v>1</v>
      </c>
      <c r="H265" s="684">
        <v>146.22</v>
      </c>
      <c r="I265" t="s">
        <v>691</v>
      </c>
    </row>
    <row r="266" spans="1:9">
      <c r="A266" s="177">
        <v>44743</v>
      </c>
      <c r="B266" t="s">
        <v>568</v>
      </c>
      <c r="C266" t="s">
        <v>375</v>
      </c>
      <c r="D266" s="684">
        <v>4</v>
      </c>
      <c r="E266" s="684">
        <v>5</v>
      </c>
      <c r="F266" t="s">
        <v>16</v>
      </c>
      <c r="G266" s="684">
        <v>1</v>
      </c>
      <c r="H266" s="684">
        <v>151.08000000000001</v>
      </c>
      <c r="I266" t="s">
        <v>691</v>
      </c>
    </row>
    <row r="267" spans="1:9">
      <c r="A267" s="177">
        <v>44743</v>
      </c>
      <c r="B267" t="s">
        <v>568</v>
      </c>
      <c r="C267" t="s">
        <v>375</v>
      </c>
      <c r="D267" s="684">
        <v>4</v>
      </c>
      <c r="E267" s="684">
        <v>5</v>
      </c>
      <c r="F267" t="s">
        <v>17</v>
      </c>
      <c r="G267" s="684">
        <v>1.0789</v>
      </c>
      <c r="H267" s="684">
        <v>163</v>
      </c>
      <c r="I267" t="s">
        <v>691</v>
      </c>
    </row>
    <row r="268" spans="1:9">
      <c r="A268" s="177">
        <v>44743</v>
      </c>
      <c r="B268" t="s">
        <v>568</v>
      </c>
      <c r="C268" t="s">
        <v>375</v>
      </c>
      <c r="D268" s="684">
        <v>4</v>
      </c>
      <c r="E268" s="684">
        <v>5</v>
      </c>
      <c r="F268" t="s">
        <v>18</v>
      </c>
      <c r="G268" s="684">
        <v>1</v>
      </c>
      <c r="H268" s="684">
        <v>151.08000000000001</v>
      </c>
      <c r="I268" t="s">
        <v>691</v>
      </c>
    </row>
    <row r="269" spans="1:9">
      <c r="A269" s="177">
        <v>44743</v>
      </c>
      <c r="B269" t="s">
        <v>568</v>
      </c>
      <c r="C269" t="s">
        <v>375</v>
      </c>
      <c r="D269" s="684">
        <v>4</v>
      </c>
      <c r="E269" s="684">
        <v>5</v>
      </c>
      <c r="F269" t="s">
        <v>19</v>
      </c>
      <c r="G269" s="684">
        <v>1</v>
      </c>
      <c r="H269" s="684">
        <v>151.08000000000001</v>
      </c>
      <c r="I269" t="s">
        <v>691</v>
      </c>
    </row>
    <row r="270" spans="1:9">
      <c r="A270" s="177">
        <v>44743</v>
      </c>
      <c r="B270" t="s">
        <v>568</v>
      </c>
      <c r="C270" t="s">
        <v>375</v>
      </c>
      <c r="D270" s="684">
        <v>4</v>
      </c>
      <c r="E270" s="684">
        <v>5</v>
      </c>
      <c r="F270" t="s">
        <v>20</v>
      </c>
      <c r="G270" s="684">
        <v>1.0629</v>
      </c>
      <c r="H270" s="684">
        <v>160.58000000000001</v>
      </c>
      <c r="I270" t="s">
        <v>691</v>
      </c>
    </row>
    <row r="271" spans="1:9">
      <c r="A271" s="177">
        <v>44743</v>
      </c>
      <c r="B271" t="s">
        <v>568</v>
      </c>
      <c r="C271" t="s">
        <v>375</v>
      </c>
      <c r="D271" s="684">
        <v>4</v>
      </c>
      <c r="E271" s="684">
        <v>5</v>
      </c>
      <c r="F271" t="s">
        <v>21</v>
      </c>
      <c r="G271" s="684">
        <v>1</v>
      </c>
      <c r="H271" s="684">
        <v>151.08000000000001</v>
      </c>
      <c r="I271" t="s">
        <v>691</v>
      </c>
    </row>
    <row r="272" spans="1:9">
      <c r="A272" s="177">
        <v>44743</v>
      </c>
      <c r="B272" t="s">
        <v>569</v>
      </c>
      <c r="C272" t="s">
        <v>375</v>
      </c>
      <c r="D272" s="684">
        <v>5</v>
      </c>
      <c r="E272" s="684">
        <v>1</v>
      </c>
      <c r="F272" t="s">
        <v>16</v>
      </c>
      <c r="G272" s="684">
        <v>1</v>
      </c>
      <c r="H272" s="684">
        <v>192.2</v>
      </c>
      <c r="I272" t="s">
        <v>691</v>
      </c>
    </row>
    <row r="273" spans="1:9">
      <c r="A273" s="177">
        <v>44743</v>
      </c>
      <c r="B273" t="s">
        <v>569</v>
      </c>
      <c r="C273" t="s">
        <v>375</v>
      </c>
      <c r="D273" s="684">
        <v>5</v>
      </c>
      <c r="E273" s="684">
        <v>1</v>
      </c>
      <c r="F273" t="s">
        <v>17</v>
      </c>
      <c r="G273" s="684">
        <v>1.0789</v>
      </c>
      <c r="H273" s="684">
        <v>207.36</v>
      </c>
      <c r="I273" t="s">
        <v>691</v>
      </c>
    </row>
    <row r="274" spans="1:9">
      <c r="A274" s="177">
        <v>44743</v>
      </c>
      <c r="B274" t="s">
        <v>569</v>
      </c>
      <c r="C274" t="s">
        <v>375</v>
      </c>
      <c r="D274" s="684">
        <v>5</v>
      </c>
      <c r="E274" s="684">
        <v>1</v>
      </c>
      <c r="F274" t="s">
        <v>18</v>
      </c>
      <c r="G274" s="684">
        <v>1</v>
      </c>
      <c r="H274" s="684">
        <v>192.2</v>
      </c>
      <c r="I274" t="s">
        <v>691</v>
      </c>
    </row>
    <row r="275" spans="1:9">
      <c r="A275" s="177">
        <v>44743</v>
      </c>
      <c r="B275" t="s">
        <v>569</v>
      </c>
      <c r="C275" t="s">
        <v>375</v>
      </c>
      <c r="D275" s="684">
        <v>5</v>
      </c>
      <c r="E275" s="684">
        <v>1</v>
      </c>
      <c r="F275" t="s">
        <v>19</v>
      </c>
      <c r="G275" s="684">
        <v>1</v>
      </c>
      <c r="H275" s="684">
        <v>192.2</v>
      </c>
      <c r="I275" t="s">
        <v>691</v>
      </c>
    </row>
    <row r="276" spans="1:9">
      <c r="A276" s="177">
        <v>44743</v>
      </c>
      <c r="B276" t="s">
        <v>569</v>
      </c>
      <c r="C276" t="s">
        <v>375</v>
      </c>
      <c r="D276" s="684">
        <v>5</v>
      </c>
      <c r="E276" s="684">
        <v>1</v>
      </c>
      <c r="F276" t="s">
        <v>20</v>
      </c>
      <c r="G276" s="684">
        <v>1.0629</v>
      </c>
      <c r="H276" s="684">
        <v>204.29</v>
      </c>
      <c r="I276" t="s">
        <v>691</v>
      </c>
    </row>
    <row r="277" spans="1:9">
      <c r="A277" s="177">
        <v>44743</v>
      </c>
      <c r="B277" t="s">
        <v>569</v>
      </c>
      <c r="C277" t="s">
        <v>375</v>
      </c>
      <c r="D277" s="684">
        <v>5</v>
      </c>
      <c r="E277" s="684">
        <v>1</v>
      </c>
      <c r="F277" t="s">
        <v>21</v>
      </c>
      <c r="G277" s="684">
        <v>1</v>
      </c>
      <c r="H277" s="684">
        <v>192.2</v>
      </c>
      <c r="I277" t="s">
        <v>691</v>
      </c>
    </row>
    <row r="278" spans="1:9">
      <c r="A278" s="177">
        <v>44743</v>
      </c>
      <c r="B278" t="s">
        <v>570</v>
      </c>
      <c r="C278" t="s">
        <v>375</v>
      </c>
      <c r="D278" s="684">
        <v>5</v>
      </c>
      <c r="E278" s="684">
        <v>2</v>
      </c>
      <c r="F278" t="s">
        <v>16</v>
      </c>
      <c r="G278" s="684">
        <v>1</v>
      </c>
      <c r="H278" s="684">
        <v>194.71</v>
      </c>
      <c r="I278" t="s">
        <v>691</v>
      </c>
    </row>
    <row r="279" spans="1:9">
      <c r="A279" s="177">
        <v>44743</v>
      </c>
      <c r="B279" t="s">
        <v>570</v>
      </c>
      <c r="C279" t="s">
        <v>375</v>
      </c>
      <c r="D279" s="684">
        <v>5</v>
      </c>
      <c r="E279" s="684">
        <v>2</v>
      </c>
      <c r="F279" t="s">
        <v>17</v>
      </c>
      <c r="G279" s="684">
        <v>1.0789</v>
      </c>
      <c r="H279" s="684">
        <v>210.07</v>
      </c>
      <c r="I279" t="s">
        <v>691</v>
      </c>
    </row>
    <row r="280" spans="1:9">
      <c r="A280" s="177">
        <v>44743</v>
      </c>
      <c r="B280" t="s">
        <v>570</v>
      </c>
      <c r="C280" t="s">
        <v>375</v>
      </c>
      <c r="D280" s="684">
        <v>5</v>
      </c>
      <c r="E280" s="684">
        <v>2</v>
      </c>
      <c r="F280" t="s">
        <v>18</v>
      </c>
      <c r="G280" s="684">
        <v>1</v>
      </c>
      <c r="H280" s="684">
        <v>194.71</v>
      </c>
      <c r="I280" t="s">
        <v>691</v>
      </c>
    </row>
    <row r="281" spans="1:9">
      <c r="A281" s="177">
        <v>44743</v>
      </c>
      <c r="B281" t="s">
        <v>570</v>
      </c>
      <c r="C281" t="s">
        <v>375</v>
      </c>
      <c r="D281" s="684">
        <v>5</v>
      </c>
      <c r="E281" s="684">
        <v>2</v>
      </c>
      <c r="F281" t="s">
        <v>19</v>
      </c>
      <c r="G281" s="684">
        <v>1</v>
      </c>
      <c r="H281" s="684">
        <v>194.71</v>
      </c>
      <c r="I281" t="s">
        <v>691</v>
      </c>
    </row>
    <row r="282" spans="1:9">
      <c r="A282" s="177">
        <v>44743</v>
      </c>
      <c r="B282" t="s">
        <v>570</v>
      </c>
      <c r="C282" t="s">
        <v>375</v>
      </c>
      <c r="D282" s="684">
        <v>5</v>
      </c>
      <c r="E282" s="684">
        <v>2</v>
      </c>
      <c r="F282" t="s">
        <v>20</v>
      </c>
      <c r="G282" s="684">
        <v>1.0629</v>
      </c>
      <c r="H282" s="684">
        <v>206.96</v>
      </c>
      <c r="I282" t="s">
        <v>691</v>
      </c>
    </row>
    <row r="283" spans="1:9">
      <c r="A283" s="177">
        <v>44743</v>
      </c>
      <c r="B283" t="s">
        <v>570</v>
      </c>
      <c r="C283" t="s">
        <v>375</v>
      </c>
      <c r="D283" s="684">
        <v>5</v>
      </c>
      <c r="E283" s="684">
        <v>2</v>
      </c>
      <c r="F283" t="s">
        <v>21</v>
      </c>
      <c r="G283" s="684">
        <v>1</v>
      </c>
      <c r="H283" s="684">
        <v>194.71</v>
      </c>
      <c r="I283" t="s">
        <v>691</v>
      </c>
    </row>
    <row r="284" spans="1:9">
      <c r="A284" s="177">
        <v>44743</v>
      </c>
      <c r="B284" t="s">
        <v>571</v>
      </c>
      <c r="C284" t="s">
        <v>375</v>
      </c>
      <c r="D284" s="684">
        <v>5</v>
      </c>
      <c r="E284" s="684">
        <v>3</v>
      </c>
      <c r="F284" t="s">
        <v>16</v>
      </c>
      <c r="G284" s="684">
        <v>1</v>
      </c>
      <c r="H284" s="684">
        <v>198.81</v>
      </c>
      <c r="I284" t="s">
        <v>691</v>
      </c>
    </row>
    <row r="285" spans="1:9">
      <c r="A285" s="177">
        <v>44743</v>
      </c>
      <c r="B285" t="s">
        <v>571</v>
      </c>
      <c r="C285" t="s">
        <v>375</v>
      </c>
      <c r="D285" s="684">
        <v>5</v>
      </c>
      <c r="E285" s="684">
        <v>3</v>
      </c>
      <c r="F285" t="s">
        <v>17</v>
      </c>
      <c r="G285" s="684">
        <v>1.0789</v>
      </c>
      <c r="H285" s="684">
        <v>214.5</v>
      </c>
      <c r="I285" t="s">
        <v>691</v>
      </c>
    </row>
    <row r="286" spans="1:9">
      <c r="A286" s="177">
        <v>44743</v>
      </c>
      <c r="B286" t="s">
        <v>571</v>
      </c>
      <c r="C286" t="s">
        <v>375</v>
      </c>
      <c r="D286" s="684">
        <v>5</v>
      </c>
      <c r="E286" s="684">
        <v>3</v>
      </c>
      <c r="F286" t="s">
        <v>18</v>
      </c>
      <c r="G286" s="684">
        <v>1</v>
      </c>
      <c r="H286" s="684">
        <v>198.81</v>
      </c>
      <c r="I286" t="s">
        <v>691</v>
      </c>
    </row>
    <row r="287" spans="1:9">
      <c r="A287" s="177">
        <v>44743</v>
      </c>
      <c r="B287" t="s">
        <v>571</v>
      </c>
      <c r="C287" t="s">
        <v>375</v>
      </c>
      <c r="D287" s="684">
        <v>5</v>
      </c>
      <c r="E287" s="684">
        <v>3</v>
      </c>
      <c r="F287" t="s">
        <v>19</v>
      </c>
      <c r="G287" s="684">
        <v>1</v>
      </c>
      <c r="H287" s="684">
        <v>198.81</v>
      </c>
      <c r="I287" t="s">
        <v>691</v>
      </c>
    </row>
    <row r="288" spans="1:9">
      <c r="A288" s="177">
        <v>44743</v>
      </c>
      <c r="B288" t="s">
        <v>571</v>
      </c>
      <c r="C288" t="s">
        <v>375</v>
      </c>
      <c r="D288" s="684">
        <v>5</v>
      </c>
      <c r="E288" s="684">
        <v>3</v>
      </c>
      <c r="F288" t="s">
        <v>20</v>
      </c>
      <c r="G288" s="684">
        <v>1.0629</v>
      </c>
      <c r="H288" s="684">
        <v>211.32</v>
      </c>
      <c r="I288" t="s">
        <v>691</v>
      </c>
    </row>
    <row r="289" spans="1:9">
      <c r="A289" s="177">
        <v>44743</v>
      </c>
      <c r="B289" t="s">
        <v>571</v>
      </c>
      <c r="C289" t="s">
        <v>375</v>
      </c>
      <c r="D289" s="684">
        <v>5</v>
      </c>
      <c r="E289" s="684">
        <v>3</v>
      </c>
      <c r="F289" t="s">
        <v>21</v>
      </c>
      <c r="G289" s="684">
        <v>1</v>
      </c>
      <c r="H289" s="684">
        <v>198.81</v>
      </c>
      <c r="I289" t="s">
        <v>691</v>
      </c>
    </row>
    <row r="290" spans="1:9">
      <c r="A290" s="177">
        <v>44743</v>
      </c>
      <c r="B290" t="s">
        <v>572</v>
      </c>
      <c r="C290" t="s">
        <v>375</v>
      </c>
      <c r="D290" s="684">
        <v>5</v>
      </c>
      <c r="E290" s="684">
        <v>4</v>
      </c>
      <c r="F290" t="s">
        <v>16</v>
      </c>
      <c r="G290" s="684">
        <v>1</v>
      </c>
      <c r="H290" s="684">
        <v>204.34</v>
      </c>
      <c r="I290" t="s">
        <v>691</v>
      </c>
    </row>
    <row r="291" spans="1:9">
      <c r="A291" s="177">
        <v>44743</v>
      </c>
      <c r="B291" t="s">
        <v>572</v>
      </c>
      <c r="C291" t="s">
        <v>375</v>
      </c>
      <c r="D291" s="684">
        <v>5</v>
      </c>
      <c r="E291" s="684">
        <v>4</v>
      </c>
      <c r="F291" t="s">
        <v>17</v>
      </c>
      <c r="G291" s="684">
        <v>1.0789</v>
      </c>
      <c r="H291" s="684">
        <v>220.46</v>
      </c>
      <c r="I291" t="s">
        <v>691</v>
      </c>
    </row>
    <row r="292" spans="1:9">
      <c r="A292" s="177">
        <v>44743</v>
      </c>
      <c r="B292" t="s">
        <v>572</v>
      </c>
      <c r="C292" t="s">
        <v>375</v>
      </c>
      <c r="D292" s="684">
        <v>5</v>
      </c>
      <c r="E292" s="684">
        <v>4</v>
      </c>
      <c r="F292" t="s">
        <v>18</v>
      </c>
      <c r="G292" s="684">
        <v>1</v>
      </c>
      <c r="H292" s="684">
        <v>204.34</v>
      </c>
      <c r="I292" t="s">
        <v>691</v>
      </c>
    </row>
    <row r="293" spans="1:9">
      <c r="A293" s="177">
        <v>44743</v>
      </c>
      <c r="B293" t="s">
        <v>572</v>
      </c>
      <c r="C293" t="s">
        <v>375</v>
      </c>
      <c r="D293" s="684">
        <v>5</v>
      </c>
      <c r="E293" s="684">
        <v>4</v>
      </c>
      <c r="F293" t="s">
        <v>19</v>
      </c>
      <c r="G293" s="684">
        <v>1</v>
      </c>
      <c r="H293" s="684">
        <v>204.34</v>
      </c>
      <c r="I293" t="s">
        <v>691</v>
      </c>
    </row>
    <row r="294" spans="1:9">
      <c r="A294" s="177">
        <v>44743</v>
      </c>
      <c r="B294" t="s">
        <v>572</v>
      </c>
      <c r="C294" t="s">
        <v>375</v>
      </c>
      <c r="D294" s="684">
        <v>5</v>
      </c>
      <c r="E294" s="684">
        <v>4</v>
      </c>
      <c r="F294" t="s">
        <v>20</v>
      </c>
      <c r="G294" s="684">
        <v>1.0629</v>
      </c>
      <c r="H294" s="684">
        <v>217.19</v>
      </c>
      <c r="I294" t="s">
        <v>691</v>
      </c>
    </row>
    <row r="295" spans="1:9">
      <c r="A295" s="177">
        <v>44743</v>
      </c>
      <c r="B295" t="s">
        <v>572</v>
      </c>
      <c r="C295" t="s">
        <v>375</v>
      </c>
      <c r="D295" s="684">
        <v>5</v>
      </c>
      <c r="E295" s="684">
        <v>4</v>
      </c>
      <c r="F295" t="s">
        <v>21</v>
      </c>
      <c r="G295" s="684">
        <v>1</v>
      </c>
      <c r="H295" s="684">
        <v>204.34</v>
      </c>
      <c r="I295" t="s">
        <v>691</v>
      </c>
    </row>
    <row r="296" spans="1:9">
      <c r="A296" s="177">
        <v>44743</v>
      </c>
      <c r="B296" t="s">
        <v>573</v>
      </c>
      <c r="C296" t="s">
        <v>375</v>
      </c>
      <c r="D296" s="684">
        <v>5</v>
      </c>
      <c r="E296" s="684">
        <v>5</v>
      </c>
      <c r="F296" t="s">
        <v>16</v>
      </c>
      <c r="G296" s="684">
        <v>1</v>
      </c>
      <c r="H296" s="684">
        <v>209.21</v>
      </c>
      <c r="I296" t="s">
        <v>691</v>
      </c>
    </row>
    <row r="297" spans="1:9">
      <c r="A297" s="177">
        <v>44743</v>
      </c>
      <c r="B297" t="s">
        <v>573</v>
      </c>
      <c r="C297" t="s">
        <v>375</v>
      </c>
      <c r="D297" s="684">
        <v>5</v>
      </c>
      <c r="E297" s="684">
        <v>5</v>
      </c>
      <c r="F297" t="s">
        <v>17</v>
      </c>
      <c r="G297" s="684">
        <v>1.0789</v>
      </c>
      <c r="H297" s="684">
        <v>225.72</v>
      </c>
      <c r="I297" t="s">
        <v>691</v>
      </c>
    </row>
    <row r="298" spans="1:9">
      <c r="A298" s="177">
        <v>44743</v>
      </c>
      <c r="B298" t="s">
        <v>573</v>
      </c>
      <c r="C298" t="s">
        <v>375</v>
      </c>
      <c r="D298" s="684">
        <v>5</v>
      </c>
      <c r="E298" s="684">
        <v>5</v>
      </c>
      <c r="F298" t="s">
        <v>18</v>
      </c>
      <c r="G298" s="684">
        <v>1</v>
      </c>
      <c r="H298" s="684">
        <v>209.21</v>
      </c>
      <c r="I298" t="s">
        <v>691</v>
      </c>
    </row>
    <row r="299" spans="1:9">
      <c r="A299" s="177">
        <v>44743</v>
      </c>
      <c r="B299" t="s">
        <v>573</v>
      </c>
      <c r="C299" t="s">
        <v>375</v>
      </c>
      <c r="D299" s="684">
        <v>5</v>
      </c>
      <c r="E299" s="684">
        <v>5</v>
      </c>
      <c r="F299" t="s">
        <v>19</v>
      </c>
      <c r="G299" s="684">
        <v>1</v>
      </c>
      <c r="H299" s="684">
        <v>209.21</v>
      </c>
      <c r="I299" t="s">
        <v>691</v>
      </c>
    </row>
    <row r="300" spans="1:9">
      <c r="A300" s="177">
        <v>44743</v>
      </c>
      <c r="B300" t="s">
        <v>573</v>
      </c>
      <c r="C300" t="s">
        <v>375</v>
      </c>
      <c r="D300" s="684">
        <v>5</v>
      </c>
      <c r="E300" s="684">
        <v>5</v>
      </c>
      <c r="F300" t="s">
        <v>20</v>
      </c>
      <c r="G300" s="684">
        <v>1.0629</v>
      </c>
      <c r="H300" s="684">
        <v>222.37</v>
      </c>
      <c r="I300" t="s">
        <v>691</v>
      </c>
    </row>
    <row r="301" spans="1:9">
      <c r="A301" s="177">
        <v>44743</v>
      </c>
      <c r="B301" t="s">
        <v>573</v>
      </c>
      <c r="C301" t="s">
        <v>375</v>
      </c>
      <c r="D301" s="684">
        <v>5</v>
      </c>
      <c r="E301" s="684">
        <v>5</v>
      </c>
      <c r="F301" t="s">
        <v>21</v>
      </c>
      <c r="G301" s="684">
        <v>1</v>
      </c>
      <c r="H301" s="684">
        <v>209.21</v>
      </c>
      <c r="I301" t="s">
        <v>691</v>
      </c>
    </row>
    <row r="302" spans="1:9">
      <c r="A302" s="177">
        <v>44743</v>
      </c>
      <c r="B302" t="s">
        <v>574</v>
      </c>
      <c r="C302" t="s">
        <v>575</v>
      </c>
      <c r="D302" s="684">
        <v>1</v>
      </c>
      <c r="E302" s="684">
        <v>1</v>
      </c>
      <c r="F302" t="s">
        <v>16</v>
      </c>
      <c r="G302" s="684">
        <v>1</v>
      </c>
      <c r="H302" s="684">
        <v>27.69</v>
      </c>
      <c r="I302" t="s">
        <v>700</v>
      </c>
    </row>
    <row r="303" spans="1:9">
      <c r="A303" s="177">
        <v>44743</v>
      </c>
      <c r="B303" t="s">
        <v>574</v>
      </c>
      <c r="C303" t="s">
        <v>575</v>
      </c>
      <c r="D303" s="684">
        <v>1</v>
      </c>
      <c r="E303" s="684">
        <v>1</v>
      </c>
      <c r="F303" t="s">
        <v>17</v>
      </c>
      <c r="G303" s="684">
        <v>1.0789</v>
      </c>
      <c r="H303" s="684">
        <v>29.87</v>
      </c>
      <c r="I303" t="s">
        <v>700</v>
      </c>
    </row>
    <row r="304" spans="1:9">
      <c r="A304" s="177">
        <v>44743</v>
      </c>
      <c r="B304" t="s">
        <v>574</v>
      </c>
      <c r="C304" t="s">
        <v>575</v>
      </c>
      <c r="D304" s="684">
        <v>1</v>
      </c>
      <c r="E304" s="684">
        <v>1</v>
      </c>
      <c r="F304" t="s">
        <v>18</v>
      </c>
      <c r="G304" s="684">
        <v>1</v>
      </c>
      <c r="H304" s="684">
        <v>27.69</v>
      </c>
      <c r="I304" t="s">
        <v>700</v>
      </c>
    </row>
    <row r="305" spans="1:9">
      <c r="A305" s="177">
        <v>44743</v>
      </c>
      <c r="B305" t="s">
        <v>574</v>
      </c>
      <c r="C305" t="s">
        <v>575</v>
      </c>
      <c r="D305" s="684">
        <v>1</v>
      </c>
      <c r="E305" s="684">
        <v>1</v>
      </c>
      <c r="F305" t="s">
        <v>19</v>
      </c>
      <c r="G305" s="684">
        <v>1</v>
      </c>
      <c r="H305" s="684">
        <v>27.69</v>
      </c>
      <c r="I305" t="s">
        <v>700</v>
      </c>
    </row>
    <row r="306" spans="1:9">
      <c r="A306" s="177">
        <v>44743</v>
      </c>
      <c r="B306" t="s">
        <v>574</v>
      </c>
      <c r="C306" t="s">
        <v>575</v>
      </c>
      <c r="D306" s="684">
        <v>1</v>
      </c>
      <c r="E306" s="684">
        <v>1</v>
      </c>
      <c r="F306" t="s">
        <v>20</v>
      </c>
      <c r="G306" s="684">
        <v>1.0629</v>
      </c>
      <c r="H306" s="684">
        <v>29.43</v>
      </c>
      <c r="I306" t="s">
        <v>700</v>
      </c>
    </row>
    <row r="307" spans="1:9">
      <c r="A307" s="177">
        <v>44743</v>
      </c>
      <c r="B307" t="s">
        <v>574</v>
      </c>
      <c r="C307" t="s">
        <v>575</v>
      </c>
      <c r="D307" s="684">
        <v>1</v>
      </c>
      <c r="E307" s="684">
        <v>1</v>
      </c>
      <c r="F307" t="s">
        <v>21</v>
      </c>
      <c r="G307" s="684">
        <v>1</v>
      </c>
      <c r="H307" s="684">
        <v>27.69</v>
      </c>
      <c r="I307" t="s">
        <v>700</v>
      </c>
    </row>
    <row r="308" spans="1:9">
      <c r="A308" s="177">
        <v>44743</v>
      </c>
      <c r="B308" t="s">
        <v>576</v>
      </c>
      <c r="C308" t="s">
        <v>575</v>
      </c>
      <c r="D308" s="684">
        <v>1</v>
      </c>
      <c r="E308" s="684">
        <v>2</v>
      </c>
      <c r="F308" t="s">
        <v>16</v>
      </c>
      <c r="G308" s="684">
        <v>1</v>
      </c>
      <c r="H308" s="684">
        <v>30.56</v>
      </c>
      <c r="I308" t="s">
        <v>700</v>
      </c>
    </row>
    <row r="309" spans="1:9">
      <c r="A309" s="177">
        <v>44743</v>
      </c>
      <c r="B309" t="s">
        <v>576</v>
      </c>
      <c r="C309" t="s">
        <v>575</v>
      </c>
      <c r="D309" s="684">
        <v>1</v>
      </c>
      <c r="E309" s="684">
        <v>2</v>
      </c>
      <c r="F309" t="s">
        <v>17</v>
      </c>
      <c r="G309" s="684">
        <v>1.0789</v>
      </c>
      <c r="H309" s="684">
        <v>32.97</v>
      </c>
      <c r="I309" t="s">
        <v>700</v>
      </c>
    </row>
    <row r="310" spans="1:9">
      <c r="A310" s="177">
        <v>44743</v>
      </c>
      <c r="B310" t="s">
        <v>576</v>
      </c>
      <c r="C310" t="s">
        <v>575</v>
      </c>
      <c r="D310" s="684">
        <v>1</v>
      </c>
      <c r="E310" s="684">
        <v>2</v>
      </c>
      <c r="F310" t="s">
        <v>18</v>
      </c>
      <c r="G310" s="684">
        <v>1</v>
      </c>
      <c r="H310" s="684">
        <v>30.56</v>
      </c>
      <c r="I310" t="s">
        <v>700</v>
      </c>
    </row>
    <row r="311" spans="1:9">
      <c r="A311" s="177">
        <v>44743</v>
      </c>
      <c r="B311" t="s">
        <v>576</v>
      </c>
      <c r="C311" t="s">
        <v>575</v>
      </c>
      <c r="D311" s="684">
        <v>1</v>
      </c>
      <c r="E311" s="684">
        <v>2</v>
      </c>
      <c r="F311" t="s">
        <v>19</v>
      </c>
      <c r="G311" s="684">
        <v>1</v>
      </c>
      <c r="H311" s="684">
        <v>30.56</v>
      </c>
      <c r="I311" t="s">
        <v>700</v>
      </c>
    </row>
    <row r="312" spans="1:9">
      <c r="A312" s="177">
        <v>44743</v>
      </c>
      <c r="B312" t="s">
        <v>576</v>
      </c>
      <c r="C312" t="s">
        <v>575</v>
      </c>
      <c r="D312" s="684">
        <v>1</v>
      </c>
      <c r="E312" s="684">
        <v>2</v>
      </c>
      <c r="F312" t="s">
        <v>20</v>
      </c>
      <c r="G312" s="684">
        <v>1.0629</v>
      </c>
      <c r="H312" s="684">
        <v>32.479999999999997</v>
      </c>
      <c r="I312" t="s">
        <v>700</v>
      </c>
    </row>
    <row r="313" spans="1:9">
      <c r="A313" s="177">
        <v>44743</v>
      </c>
      <c r="B313" t="s">
        <v>576</v>
      </c>
      <c r="C313" t="s">
        <v>575</v>
      </c>
      <c r="D313" s="684">
        <v>1</v>
      </c>
      <c r="E313" s="684">
        <v>2</v>
      </c>
      <c r="F313" t="s">
        <v>21</v>
      </c>
      <c r="G313" s="684">
        <v>1</v>
      </c>
      <c r="H313" s="684">
        <v>30.56</v>
      </c>
      <c r="I313" t="s">
        <v>700</v>
      </c>
    </row>
    <row r="314" spans="1:9">
      <c r="A314" s="177">
        <v>44743</v>
      </c>
      <c r="B314" t="s">
        <v>577</v>
      </c>
      <c r="C314" t="s">
        <v>575</v>
      </c>
      <c r="D314" s="684">
        <v>1</v>
      </c>
      <c r="E314" s="684">
        <v>3</v>
      </c>
      <c r="F314" t="s">
        <v>16</v>
      </c>
      <c r="G314" s="684">
        <v>1</v>
      </c>
      <c r="H314" s="684">
        <v>35.229999999999997</v>
      </c>
      <c r="I314" t="s">
        <v>700</v>
      </c>
    </row>
    <row r="315" spans="1:9">
      <c r="A315" s="177">
        <v>44743</v>
      </c>
      <c r="B315" t="s">
        <v>577</v>
      </c>
      <c r="C315" t="s">
        <v>575</v>
      </c>
      <c r="D315" s="684">
        <v>1</v>
      </c>
      <c r="E315" s="684">
        <v>3</v>
      </c>
      <c r="F315" t="s">
        <v>17</v>
      </c>
      <c r="G315" s="684">
        <v>1.0789</v>
      </c>
      <c r="H315" s="684">
        <v>38.01</v>
      </c>
      <c r="I315" t="s">
        <v>700</v>
      </c>
    </row>
    <row r="316" spans="1:9">
      <c r="A316" s="177">
        <v>44743</v>
      </c>
      <c r="B316" t="s">
        <v>577</v>
      </c>
      <c r="C316" t="s">
        <v>575</v>
      </c>
      <c r="D316" s="684">
        <v>1</v>
      </c>
      <c r="E316" s="684">
        <v>3</v>
      </c>
      <c r="F316" t="s">
        <v>18</v>
      </c>
      <c r="G316" s="684">
        <v>1</v>
      </c>
      <c r="H316" s="684">
        <v>35.229999999999997</v>
      </c>
      <c r="I316" t="s">
        <v>700</v>
      </c>
    </row>
    <row r="317" spans="1:9">
      <c r="A317" s="177">
        <v>44743</v>
      </c>
      <c r="B317" t="s">
        <v>577</v>
      </c>
      <c r="C317" t="s">
        <v>575</v>
      </c>
      <c r="D317" s="684">
        <v>1</v>
      </c>
      <c r="E317" s="684">
        <v>3</v>
      </c>
      <c r="F317" t="s">
        <v>19</v>
      </c>
      <c r="G317" s="684">
        <v>1</v>
      </c>
      <c r="H317" s="684">
        <v>35.229999999999997</v>
      </c>
      <c r="I317" t="s">
        <v>700</v>
      </c>
    </row>
    <row r="318" spans="1:9">
      <c r="A318" s="177">
        <v>44743</v>
      </c>
      <c r="B318" t="s">
        <v>577</v>
      </c>
      <c r="C318" t="s">
        <v>575</v>
      </c>
      <c r="D318" s="684">
        <v>1</v>
      </c>
      <c r="E318" s="684">
        <v>3</v>
      </c>
      <c r="F318" t="s">
        <v>20</v>
      </c>
      <c r="G318" s="684">
        <v>1.0629</v>
      </c>
      <c r="H318" s="684">
        <v>37.450000000000003</v>
      </c>
      <c r="I318" t="s">
        <v>700</v>
      </c>
    </row>
    <row r="319" spans="1:9">
      <c r="A319" s="177">
        <v>44743</v>
      </c>
      <c r="B319" t="s">
        <v>577</v>
      </c>
      <c r="C319" t="s">
        <v>575</v>
      </c>
      <c r="D319" s="684">
        <v>1</v>
      </c>
      <c r="E319" s="684">
        <v>3</v>
      </c>
      <c r="F319" t="s">
        <v>21</v>
      </c>
      <c r="G319" s="684">
        <v>1</v>
      </c>
      <c r="H319" s="684">
        <v>35.229999999999997</v>
      </c>
      <c r="I319" t="s">
        <v>700</v>
      </c>
    </row>
    <row r="320" spans="1:9">
      <c r="A320" s="177">
        <v>44743</v>
      </c>
      <c r="B320" t="s">
        <v>578</v>
      </c>
      <c r="C320" t="s">
        <v>575</v>
      </c>
      <c r="D320" s="684">
        <v>1</v>
      </c>
      <c r="E320" s="684">
        <v>4</v>
      </c>
      <c r="F320" t="s">
        <v>16</v>
      </c>
      <c r="G320" s="684">
        <v>1</v>
      </c>
      <c r="H320" s="684">
        <v>41.56</v>
      </c>
      <c r="I320" t="s">
        <v>700</v>
      </c>
    </row>
    <row r="321" spans="1:9">
      <c r="A321" s="177">
        <v>44743</v>
      </c>
      <c r="B321" t="s">
        <v>578</v>
      </c>
      <c r="C321" t="s">
        <v>575</v>
      </c>
      <c r="D321" s="684">
        <v>1</v>
      </c>
      <c r="E321" s="684">
        <v>4</v>
      </c>
      <c r="F321" t="s">
        <v>17</v>
      </c>
      <c r="G321" s="684">
        <v>1.0789</v>
      </c>
      <c r="H321" s="684">
        <v>44.84</v>
      </c>
      <c r="I321" t="s">
        <v>700</v>
      </c>
    </row>
    <row r="322" spans="1:9">
      <c r="A322" s="177">
        <v>44743</v>
      </c>
      <c r="B322" t="s">
        <v>578</v>
      </c>
      <c r="C322" t="s">
        <v>575</v>
      </c>
      <c r="D322" s="684">
        <v>1</v>
      </c>
      <c r="E322" s="684">
        <v>4</v>
      </c>
      <c r="F322" t="s">
        <v>18</v>
      </c>
      <c r="G322" s="684">
        <v>1</v>
      </c>
      <c r="H322" s="684">
        <v>41.56</v>
      </c>
      <c r="I322" t="s">
        <v>700</v>
      </c>
    </row>
    <row r="323" spans="1:9">
      <c r="A323" s="177">
        <v>44743</v>
      </c>
      <c r="B323" t="s">
        <v>578</v>
      </c>
      <c r="C323" t="s">
        <v>575</v>
      </c>
      <c r="D323" s="684">
        <v>1</v>
      </c>
      <c r="E323" s="684">
        <v>4</v>
      </c>
      <c r="F323" t="s">
        <v>19</v>
      </c>
      <c r="G323" s="684">
        <v>1</v>
      </c>
      <c r="H323" s="684">
        <v>41.56</v>
      </c>
      <c r="I323" t="s">
        <v>700</v>
      </c>
    </row>
    <row r="324" spans="1:9">
      <c r="A324" s="177">
        <v>44743</v>
      </c>
      <c r="B324" t="s">
        <v>578</v>
      </c>
      <c r="C324" t="s">
        <v>575</v>
      </c>
      <c r="D324" s="684">
        <v>1</v>
      </c>
      <c r="E324" s="684">
        <v>4</v>
      </c>
      <c r="F324" t="s">
        <v>20</v>
      </c>
      <c r="G324" s="684">
        <v>1.0629</v>
      </c>
      <c r="H324" s="684">
        <v>44.17</v>
      </c>
      <c r="I324" t="s">
        <v>700</v>
      </c>
    </row>
    <row r="325" spans="1:9">
      <c r="A325" s="177">
        <v>44743</v>
      </c>
      <c r="B325" t="s">
        <v>578</v>
      </c>
      <c r="C325" t="s">
        <v>575</v>
      </c>
      <c r="D325" s="684">
        <v>1</v>
      </c>
      <c r="E325" s="684">
        <v>4</v>
      </c>
      <c r="F325" t="s">
        <v>21</v>
      </c>
      <c r="G325" s="684">
        <v>1</v>
      </c>
      <c r="H325" s="684">
        <v>41.56</v>
      </c>
      <c r="I325" t="s">
        <v>700</v>
      </c>
    </row>
    <row r="326" spans="1:9">
      <c r="A326" s="177">
        <v>44743</v>
      </c>
      <c r="B326" t="s">
        <v>579</v>
      </c>
      <c r="C326" t="s">
        <v>575</v>
      </c>
      <c r="D326" s="684">
        <v>1</v>
      </c>
      <c r="E326" s="684">
        <v>5</v>
      </c>
      <c r="F326" t="s">
        <v>16</v>
      </c>
      <c r="G326" s="684">
        <v>1</v>
      </c>
      <c r="H326" s="684">
        <v>47.1</v>
      </c>
      <c r="I326" t="s">
        <v>700</v>
      </c>
    </row>
    <row r="327" spans="1:9">
      <c r="A327" s="177">
        <v>44743</v>
      </c>
      <c r="B327" t="s">
        <v>579</v>
      </c>
      <c r="C327" t="s">
        <v>575</v>
      </c>
      <c r="D327" s="684">
        <v>1</v>
      </c>
      <c r="E327" s="684">
        <v>5</v>
      </c>
      <c r="F327" t="s">
        <v>17</v>
      </c>
      <c r="G327" s="684">
        <v>1.0789</v>
      </c>
      <c r="H327" s="684">
        <v>50.82</v>
      </c>
      <c r="I327" t="s">
        <v>700</v>
      </c>
    </row>
    <row r="328" spans="1:9">
      <c r="A328" s="177">
        <v>44743</v>
      </c>
      <c r="B328" t="s">
        <v>579</v>
      </c>
      <c r="C328" t="s">
        <v>575</v>
      </c>
      <c r="D328" s="684">
        <v>1</v>
      </c>
      <c r="E328" s="684">
        <v>5</v>
      </c>
      <c r="F328" t="s">
        <v>18</v>
      </c>
      <c r="G328" s="684">
        <v>1</v>
      </c>
      <c r="H328" s="684">
        <v>47.1</v>
      </c>
      <c r="I328" t="s">
        <v>700</v>
      </c>
    </row>
    <row r="329" spans="1:9">
      <c r="A329" s="177">
        <v>44743</v>
      </c>
      <c r="B329" t="s">
        <v>579</v>
      </c>
      <c r="C329" t="s">
        <v>575</v>
      </c>
      <c r="D329" s="684">
        <v>1</v>
      </c>
      <c r="E329" s="684">
        <v>5</v>
      </c>
      <c r="F329" t="s">
        <v>19</v>
      </c>
      <c r="G329" s="684">
        <v>1</v>
      </c>
      <c r="H329" s="684">
        <v>47.1</v>
      </c>
      <c r="I329" t="s">
        <v>700</v>
      </c>
    </row>
    <row r="330" spans="1:9">
      <c r="A330" s="177">
        <v>44743</v>
      </c>
      <c r="B330" t="s">
        <v>579</v>
      </c>
      <c r="C330" t="s">
        <v>575</v>
      </c>
      <c r="D330" s="684">
        <v>1</v>
      </c>
      <c r="E330" s="684">
        <v>5</v>
      </c>
      <c r="F330" t="s">
        <v>20</v>
      </c>
      <c r="G330" s="684">
        <v>1.0629</v>
      </c>
      <c r="H330" s="684">
        <v>50.06</v>
      </c>
      <c r="I330" t="s">
        <v>700</v>
      </c>
    </row>
    <row r="331" spans="1:9">
      <c r="A331" s="177">
        <v>44743</v>
      </c>
      <c r="B331" t="s">
        <v>579</v>
      </c>
      <c r="C331" t="s">
        <v>575</v>
      </c>
      <c r="D331" s="684">
        <v>1</v>
      </c>
      <c r="E331" s="684">
        <v>5</v>
      </c>
      <c r="F331" t="s">
        <v>21</v>
      </c>
      <c r="G331" s="684">
        <v>1</v>
      </c>
      <c r="H331" s="684">
        <v>47.1</v>
      </c>
      <c r="I331" t="s">
        <v>700</v>
      </c>
    </row>
    <row r="332" spans="1:9">
      <c r="A332" s="177">
        <v>44743</v>
      </c>
      <c r="B332" t="s">
        <v>580</v>
      </c>
      <c r="C332" t="s">
        <v>575</v>
      </c>
      <c r="D332" s="684">
        <v>2</v>
      </c>
      <c r="E332" s="684">
        <v>1</v>
      </c>
      <c r="F332" t="s">
        <v>16</v>
      </c>
      <c r="G332" s="684">
        <v>1</v>
      </c>
      <c r="H332" s="684">
        <v>33.090000000000003</v>
      </c>
      <c r="I332" t="s">
        <v>700</v>
      </c>
    </row>
    <row r="333" spans="1:9">
      <c r="A333" s="177">
        <v>44743</v>
      </c>
      <c r="B333" t="s">
        <v>580</v>
      </c>
      <c r="C333" t="s">
        <v>575</v>
      </c>
      <c r="D333" s="684">
        <v>2</v>
      </c>
      <c r="E333" s="684">
        <v>1</v>
      </c>
      <c r="F333" t="s">
        <v>17</v>
      </c>
      <c r="G333" s="684">
        <v>1.0789</v>
      </c>
      <c r="H333" s="684">
        <v>35.700000000000003</v>
      </c>
      <c r="I333" t="s">
        <v>700</v>
      </c>
    </row>
    <row r="334" spans="1:9">
      <c r="A334" s="177">
        <v>44743</v>
      </c>
      <c r="B334" t="s">
        <v>580</v>
      </c>
      <c r="C334" t="s">
        <v>575</v>
      </c>
      <c r="D334" s="684">
        <v>2</v>
      </c>
      <c r="E334" s="684">
        <v>1</v>
      </c>
      <c r="F334" t="s">
        <v>18</v>
      </c>
      <c r="G334" s="684">
        <v>1</v>
      </c>
      <c r="H334" s="684">
        <v>33.090000000000003</v>
      </c>
      <c r="I334" t="s">
        <v>700</v>
      </c>
    </row>
    <row r="335" spans="1:9">
      <c r="A335" s="177">
        <v>44743</v>
      </c>
      <c r="B335" t="s">
        <v>580</v>
      </c>
      <c r="C335" t="s">
        <v>575</v>
      </c>
      <c r="D335" s="684">
        <v>2</v>
      </c>
      <c r="E335" s="684">
        <v>1</v>
      </c>
      <c r="F335" t="s">
        <v>19</v>
      </c>
      <c r="G335" s="684">
        <v>1</v>
      </c>
      <c r="H335" s="684">
        <v>33.090000000000003</v>
      </c>
      <c r="I335" t="s">
        <v>700</v>
      </c>
    </row>
    <row r="336" spans="1:9">
      <c r="A336" s="177">
        <v>44743</v>
      </c>
      <c r="B336" t="s">
        <v>580</v>
      </c>
      <c r="C336" t="s">
        <v>575</v>
      </c>
      <c r="D336" s="684">
        <v>2</v>
      </c>
      <c r="E336" s="684">
        <v>1</v>
      </c>
      <c r="F336" t="s">
        <v>20</v>
      </c>
      <c r="G336" s="684">
        <v>1.0629</v>
      </c>
      <c r="H336" s="684">
        <v>35.17</v>
      </c>
      <c r="I336" t="s">
        <v>700</v>
      </c>
    </row>
    <row r="337" spans="1:9">
      <c r="A337" s="177">
        <v>44743</v>
      </c>
      <c r="B337" t="s">
        <v>580</v>
      </c>
      <c r="C337" t="s">
        <v>575</v>
      </c>
      <c r="D337" s="684">
        <v>2</v>
      </c>
      <c r="E337" s="684">
        <v>1</v>
      </c>
      <c r="F337" t="s">
        <v>21</v>
      </c>
      <c r="G337" s="684">
        <v>1</v>
      </c>
      <c r="H337" s="684">
        <v>33.090000000000003</v>
      </c>
      <c r="I337" t="s">
        <v>700</v>
      </c>
    </row>
    <row r="338" spans="1:9">
      <c r="A338" s="177">
        <v>44743</v>
      </c>
      <c r="B338" t="s">
        <v>581</v>
      </c>
      <c r="C338" t="s">
        <v>575</v>
      </c>
      <c r="D338" s="684">
        <v>2</v>
      </c>
      <c r="E338" s="684">
        <v>2</v>
      </c>
      <c r="F338" t="s">
        <v>16</v>
      </c>
      <c r="G338" s="684">
        <v>1</v>
      </c>
      <c r="H338" s="684">
        <v>35.950000000000003</v>
      </c>
      <c r="I338" t="s">
        <v>700</v>
      </c>
    </row>
    <row r="339" spans="1:9">
      <c r="A339" s="177">
        <v>44743</v>
      </c>
      <c r="B339" t="s">
        <v>581</v>
      </c>
      <c r="C339" t="s">
        <v>575</v>
      </c>
      <c r="D339" s="684">
        <v>2</v>
      </c>
      <c r="E339" s="684">
        <v>2</v>
      </c>
      <c r="F339" t="s">
        <v>17</v>
      </c>
      <c r="G339" s="684">
        <v>1.0789</v>
      </c>
      <c r="H339" s="684">
        <v>38.79</v>
      </c>
      <c r="I339" t="s">
        <v>700</v>
      </c>
    </row>
    <row r="340" spans="1:9">
      <c r="A340" s="177">
        <v>44743</v>
      </c>
      <c r="B340" t="s">
        <v>581</v>
      </c>
      <c r="C340" t="s">
        <v>575</v>
      </c>
      <c r="D340" s="684">
        <v>2</v>
      </c>
      <c r="E340" s="684">
        <v>2</v>
      </c>
      <c r="F340" t="s">
        <v>18</v>
      </c>
      <c r="G340" s="684">
        <v>1</v>
      </c>
      <c r="H340" s="684">
        <v>35.950000000000003</v>
      </c>
      <c r="I340" t="s">
        <v>700</v>
      </c>
    </row>
    <row r="341" spans="1:9">
      <c r="A341" s="177">
        <v>44743</v>
      </c>
      <c r="B341" t="s">
        <v>581</v>
      </c>
      <c r="C341" t="s">
        <v>575</v>
      </c>
      <c r="D341" s="684">
        <v>2</v>
      </c>
      <c r="E341" s="684">
        <v>2</v>
      </c>
      <c r="F341" t="s">
        <v>19</v>
      </c>
      <c r="G341" s="684">
        <v>1</v>
      </c>
      <c r="H341" s="684">
        <v>35.950000000000003</v>
      </c>
      <c r="I341" t="s">
        <v>700</v>
      </c>
    </row>
    <row r="342" spans="1:9">
      <c r="A342" s="177">
        <v>44743</v>
      </c>
      <c r="B342" t="s">
        <v>581</v>
      </c>
      <c r="C342" t="s">
        <v>575</v>
      </c>
      <c r="D342" s="684">
        <v>2</v>
      </c>
      <c r="E342" s="684">
        <v>2</v>
      </c>
      <c r="F342" t="s">
        <v>20</v>
      </c>
      <c r="G342" s="684">
        <v>1.0629</v>
      </c>
      <c r="H342" s="684">
        <v>38.21</v>
      </c>
      <c r="I342" t="s">
        <v>700</v>
      </c>
    </row>
    <row r="343" spans="1:9">
      <c r="A343" s="177">
        <v>44743</v>
      </c>
      <c r="B343" t="s">
        <v>581</v>
      </c>
      <c r="C343" t="s">
        <v>575</v>
      </c>
      <c r="D343" s="684">
        <v>2</v>
      </c>
      <c r="E343" s="684">
        <v>2</v>
      </c>
      <c r="F343" t="s">
        <v>21</v>
      </c>
      <c r="G343" s="684">
        <v>1</v>
      </c>
      <c r="H343" s="684">
        <v>35.950000000000003</v>
      </c>
      <c r="I343" t="s">
        <v>700</v>
      </c>
    </row>
    <row r="344" spans="1:9">
      <c r="A344" s="177">
        <v>44743</v>
      </c>
      <c r="B344" t="s">
        <v>582</v>
      </c>
      <c r="C344" t="s">
        <v>575</v>
      </c>
      <c r="D344" s="684">
        <v>2</v>
      </c>
      <c r="E344" s="684">
        <v>3</v>
      </c>
      <c r="F344" t="s">
        <v>16</v>
      </c>
      <c r="G344" s="684">
        <v>1</v>
      </c>
      <c r="H344" s="684">
        <v>40.65</v>
      </c>
      <c r="I344" t="s">
        <v>700</v>
      </c>
    </row>
    <row r="345" spans="1:9">
      <c r="A345" s="177">
        <v>44743</v>
      </c>
      <c r="B345" t="s">
        <v>582</v>
      </c>
      <c r="C345" t="s">
        <v>575</v>
      </c>
      <c r="D345" s="684">
        <v>2</v>
      </c>
      <c r="E345" s="684">
        <v>3</v>
      </c>
      <c r="F345" t="s">
        <v>17</v>
      </c>
      <c r="G345" s="684">
        <v>1.0789</v>
      </c>
      <c r="H345" s="684">
        <v>43.86</v>
      </c>
      <c r="I345" t="s">
        <v>700</v>
      </c>
    </row>
    <row r="346" spans="1:9">
      <c r="A346" s="177">
        <v>44743</v>
      </c>
      <c r="B346" t="s">
        <v>582</v>
      </c>
      <c r="C346" t="s">
        <v>575</v>
      </c>
      <c r="D346" s="684">
        <v>2</v>
      </c>
      <c r="E346" s="684">
        <v>3</v>
      </c>
      <c r="F346" t="s">
        <v>18</v>
      </c>
      <c r="G346" s="684">
        <v>1</v>
      </c>
      <c r="H346" s="684">
        <v>40.65</v>
      </c>
      <c r="I346" t="s">
        <v>700</v>
      </c>
    </row>
    <row r="347" spans="1:9">
      <c r="A347" s="177">
        <v>44743</v>
      </c>
      <c r="B347" t="s">
        <v>582</v>
      </c>
      <c r="C347" t="s">
        <v>575</v>
      </c>
      <c r="D347" s="684">
        <v>2</v>
      </c>
      <c r="E347" s="684">
        <v>3</v>
      </c>
      <c r="F347" t="s">
        <v>19</v>
      </c>
      <c r="G347" s="684">
        <v>1</v>
      </c>
      <c r="H347" s="684">
        <v>40.65</v>
      </c>
      <c r="I347" t="s">
        <v>700</v>
      </c>
    </row>
    <row r="348" spans="1:9">
      <c r="A348" s="177">
        <v>44743</v>
      </c>
      <c r="B348" t="s">
        <v>582</v>
      </c>
      <c r="C348" t="s">
        <v>575</v>
      </c>
      <c r="D348" s="684">
        <v>2</v>
      </c>
      <c r="E348" s="684">
        <v>3</v>
      </c>
      <c r="F348" t="s">
        <v>20</v>
      </c>
      <c r="G348" s="684">
        <v>1.0629</v>
      </c>
      <c r="H348" s="684">
        <v>43.21</v>
      </c>
      <c r="I348" t="s">
        <v>700</v>
      </c>
    </row>
    <row r="349" spans="1:9">
      <c r="A349" s="177">
        <v>44743</v>
      </c>
      <c r="B349" t="s">
        <v>582</v>
      </c>
      <c r="C349" t="s">
        <v>575</v>
      </c>
      <c r="D349" s="684">
        <v>2</v>
      </c>
      <c r="E349" s="684">
        <v>3</v>
      </c>
      <c r="F349" t="s">
        <v>21</v>
      </c>
      <c r="G349" s="684">
        <v>1</v>
      </c>
      <c r="H349" s="684">
        <v>40.65</v>
      </c>
      <c r="I349" t="s">
        <v>700</v>
      </c>
    </row>
    <row r="350" spans="1:9">
      <c r="A350" s="177">
        <v>44743</v>
      </c>
      <c r="B350" t="s">
        <v>583</v>
      </c>
      <c r="C350" t="s">
        <v>575</v>
      </c>
      <c r="D350" s="684">
        <v>2</v>
      </c>
      <c r="E350" s="684">
        <v>4</v>
      </c>
      <c r="F350" t="s">
        <v>16</v>
      </c>
      <c r="G350" s="684">
        <v>1</v>
      </c>
      <c r="H350" s="684">
        <v>46.9</v>
      </c>
      <c r="I350" t="s">
        <v>700</v>
      </c>
    </row>
    <row r="351" spans="1:9">
      <c r="A351" s="177">
        <v>44743</v>
      </c>
      <c r="B351" t="s">
        <v>583</v>
      </c>
      <c r="C351" t="s">
        <v>575</v>
      </c>
      <c r="D351" s="684">
        <v>2</v>
      </c>
      <c r="E351" s="684">
        <v>4</v>
      </c>
      <c r="F351" t="s">
        <v>17</v>
      </c>
      <c r="G351" s="684">
        <v>1.0789</v>
      </c>
      <c r="H351" s="684">
        <v>50.6</v>
      </c>
      <c r="I351" t="s">
        <v>700</v>
      </c>
    </row>
    <row r="352" spans="1:9">
      <c r="A352" s="177">
        <v>44743</v>
      </c>
      <c r="B352" t="s">
        <v>583</v>
      </c>
      <c r="C352" t="s">
        <v>575</v>
      </c>
      <c r="D352" s="684">
        <v>2</v>
      </c>
      <c r="E352" s="684">
        <v>4</v>
      </c>
      <c r="F352" t="s">
        <v>18</v>
      </c>
      <c r="G352" s="684">
        <v>1</v>
      </c>
      <c r="H352" s="684">
        <v>46.9</v>
      </c>
      <c r="I352" t="s">
        <v>700</v>
      </c>
    </row>
    <row r="353" spans="1:9">
      <c r="A353" s="177">
        <v>44743</v>
      </c>
      <c r="B353" t="s">
        <v>583</v>
      </c>
      <c r="C353" t="s">
        <v>575</v>
      </c>
      <c r="D353" s="684">
        <v>2</v>
      </c>
      <c r="E353" s="684">
        <v>4</v>
      </c>
      <c r="F353" t="s">
        <v>19</v>
      </c>
      <c r="G353" s="684">
        <v>1</v>
      </c>
      <c r="H353" s="684">
        <v>46.9</v>
      </c>
      <c r="I353" t="s">
        <v>700</v>
      </c>
    </row>
    <row r="354" spans="1:9">
      <c r="A354" s="177">
        <v>44743</v>
      </c>
      <c r="B354" t="s">
        <v>583</v>
      </c>
      <c r="C354" t="s">
        <v>575</v>
      </c>
      <c r="D354" s="684">
        <v>2</v>
      </c>
      <c r="E354" s="684">
        <v>4</v>
      </c>
      <c r="F354" t="s">
        <v>20</v>
      </c>
      <c r="G354" s="684">
        <v>1.0629</v>
      </c>
      <c r="H354" s="684">
        <v>49.85</v>
      </c>
      <c r="I354" t="s">
        <v>700</v>
      </c>
    </row>
    <row r="355" spans="1:9">
      <c r="A355" s="177">
        <v>44743</v>
      </c>
      <c r="B355" t="s">
        <v>583</v>
      </c>
      <c r="C355" t="s">
        <v>575</v>
      </c>
      <c r="D355" s="684">
        <v>2</v>
      </c>
      <c r="E355" s="684">
        <v>4</v>
      </c>
      <c r="F355" t="s">
        <v>21</v>
      </c>
      <c r="G355" s="684">
        <v>1</v>
      </c>
      <c r="H355" s="684">
        <v>46.9</v>
      </c>
      <c r="I355" t="s">
        <v>700</v>
      </c>
    </row>
    <row r="356" spans="1:9">
      <c r="A356" s="177">
        <v>44743</v>
      </c>
      <c r="B356" t="s">
        <v>584</v>
      </c>
      <c r="C356" t="s">
        <v>575</v>
      </c>
      <c r="D356" s="684">
        <v>2</v>
      </c>
      <c r="E356" s="684">
        <v>5</v>
      </c>
      <c r="F356" t="s">
        <v>16</v>
      </c>
      <c r="G356" s="684">
        <v>1</v>
      </c>
      <c r="H356" s="684">
        <v>52.46</v>
      </c>
      <c r="I356" t="s">
        <v>700</v>
      </c>
    </row>
    <row r="357" spans="1:9">
      <c r="A357" s="177">
        <v>44743</v>
      </c>
      <c r="B357" t="s">
        <v>584</v>
      </c>
      <c r="C357" t="s">
        <v>575</v>
      </c>
      <c r="D357" s="684">
        <v>2</v>
      </c>
      <c r="E357" s="684">
        <v>5</v>
      </c>
      <c r="F357" t="s">
        <v>17</v>
      </c>
      <c r="G357" s="684">
        <v>1.0789</v>
      </c>
      <c r="H357" s="684">
        <v>56.6</v>
      </c>
      <c r="I357" t="s">
        <v>700</v>
      </c>
    </row>
    <row r="358" spans="1:9">
      <c r="A358" s="177">
        <v>44743</v>
      </c>
      <c r="B358" t="s">
        <v>584</v>
      </c>
      <c r="C358" t="s">
        <v>575</v>
      </c>
      <c r="D358" s="684">
        <v>2</v>
      </c>
      <c r="E358" s="684">
        <v>5</v>
      </c>
      <c r="F358" t="s">
        <v>18</v>
      </c>
      <c r="G358" s="684">
        <v>1</v>
      </c>
      <c r="H358" s="684">
        <v>52.46</v>
      </c>
      <c r="I358" t="s">
        <v>700</v>
      </c>
    </row>
    <row r="359" spans="1:9">
      <c r="A359" s="177">
        <v>44743</v>
      </c>
      <c r="B359" t="s">
        <v>584</v>
      </c>
      <c r="C359" t="s">
        <v>575</v>
      </c>
      <c r="D359" s="684">
        <v>2</v>
      </c>
      <c r="E359" s="684">
        <v>5</v>
      </c>
      <c r="F359" t="s">
        <v>19</v>
      </c>
      <c r="G359" s="684">
        <v>1</v>
      </c>
      <c r="H359" s="684">
        <v>52.46</v>
      </c>
      <c r="I359" t="s">
        <v>700</v>
      </c>
    </row>
    <row r="360" spans="1:9">
      <c r="A360" s="177">
        <v>44743</v>
      </c>
      <c r="B360" t="s">
        <v>584</v>
      </c>
      <c r="C360" t="s">
        <v>575</v>
      </c>
      <c r="D360" s="684">
        <v>2</v>
      </c>
      <c r="E360" s="684">
        <v>5</v>
      </c>
      <c r="F360" t="s">
        <v>20</v>
      </c>
      <c r="G360" s="684">
        <v>1.0629</v>
      </c>
      <c r="H360" s="684">
        <v>55.76</v>
      </c>
      <c r="I360" t="s">
        <v>700</v>
      </c>
    </row>
    <row r="361" spans="1:9">
      <c r="A361" s="177">
        <v>44743</v>
      </c>
      <c r="B361" t="s">
        <v>584</v>
      </c>
      <c r="C361" t="s">
        <v>575</v>
      </c>
      <c r="D361" s="684">
        <v>2</v>
      </c>
      <c r="E361" s="684">
        <v>5</v>
      </c>
      <c r="F361" t="s">
        <v>21</v>
      </c>
      <c r="G361" s="684">
        <v>1</v>
      </c>
      <c r="H361" s="684">
        <v>52.46</v>
      </c>
      <c r="I361" t="s">
        <v>700</v>
      </c>
    </row>
    <row r="362" spans="1:9">
      <c r="A362" s="177">
        <v>44743</v>
      </c>
      <c r="B362" t="s">
        <v>585</v>
      </c>
      <c r="C362" t="s">
        <v>575</v>
      </c>
      <c r="D362" s="684">
        <v>3</v>
      </c>
      <c r="E362" s="684">
        <v>1</v>
      </c>
      <c r="F362" t="s">
        <v>16</v>
      </c>
      <c r="G362" s="684">
        <v>1</v>
      </c>
      <c r="H362" s="684">
        <v>43.58</v>
      </c>
      <c r="I362" t="s">
        <v>700</v>
      </c>
    </row>
    <row r="363" spans="1:9">
      <c r="A363" s="177">
        <v>44743</v>
      </c>
      <c r="B363" t="s">
        <v>585</v>
      </c>
      <c r="C363" t="s">
        <v>575</v>
      </c>
      <c r="D363" s="684">
        <v>3</v>
      </c>
      <c r="E363" s="684">
        <v>1</v>
      </c>
      <c r="F363" t="s">
        <v>17</v>
      </c>
      <c r="G363" s="684">
        <v>1.0789</v>
      </c>
      <c r="H363" s="684">
        <v>47.02</v>
      </c>
      <c r="I363" t="s">
        <v>700</v>
      </c>
    </row>
    <row r="364" spans="1:9">
      <c r="A364" s="177">
        <v>44743</v>
      </c>
      <c r="B364" t="s">
        <v>585</v>
      </c>
      <c r="C364" t="s">
        <v>575</v>
      </c>
      <c r="D364" s="684">
        <v>3</v>
      </c>
      <c r="E364" s="684">
        <v>1</v>
      </c>
      <c r="F364" t="s">
        <v>18</v>
      </c>
      <c r="G364" s="684">
        <v>1</v>
      </c>
      <c r="H364" s="684">
        <v>43.58</v>
      </c>
      <c r="I364" t="s">
        <v>700</v>
      </c>
    </row>
    <row r="365" spans="1:9">
      <c r="A365" s="177">
        <v>44743</v>
      </c>
      <c r="B365" t="s">
        <v>585</v>
      </c>
      <c r="C365" t="s">
        <v>575</v>
      </c>
      <c r="D365" s="684">
        <v>3</v>
      </c>
      <c r="E365" s="684">
        <v>1</v>
      </c>
      <c r="F365" t="s">
        <v>19</v>
      </c>
      <c r="G365" s="684">
        <v>1</v>
      </c>
      <c r="H365" s="684">
        <v>43.58</v>
      </c>
      <c r="I365" t="s">
        <v>700</v>
      </c>
    </row>
    <row r="366" spans="1:9">
      <c r="A366" s="177">
        <v>44743</v>
      </c>
      <c r="B366" t="s">
        <v>585</v>
      </c>
      <c r="C366" t="s">
        <v>575</v>
      </c>
      <c r="D366" s="684">
        <v>3</v>
      </c>
      <c r="E366" s="684">
        <v>1</v>
      </c>
      <c r="F366" t="s">
        <v>20</v>
      </c>
      <c r="G366" s="684">
        <v>1.0629</v>
      </c>
      <c r="H366" s="684">
        <v>46.32</v>
      </c>
      <c r="I366" t="s">
        <v>700</v>
      </c>
    </row>
    <row r="367" spans="1:9">
      <c r="A367" s="177">
        <v>44743</v>
      </c>
      <c r="B367" t="s">
        <v>585</v>
      </c>
      <c r="C367" t="s">
        <v>575</v>
      </c>
      <c r="D367" s="684">
        <v>3</v>
      </c>
      <c r="E367" s="684">
        <v>1</v>
      </c>
      <c r="F367" t="s">
        <v>21</v>
      </c>
      <c r="G367" s="684">
        <v>1</v>
      </c>
      <c r="H367" s="684">
        <v>43.58</v>
      </c>
      <c r="I367" t="s">
        <v>700</v>
      </c>
    </row>
    <row r="368" spans="1:9">
      <c r="A368" s="177">
        <v>44743</v>
      </c>
      <c r="B368" t="s">
        <v>586</v>
      </c>
      <c r="C368" t="s">
        <v>575</v>
      </c>
      <c r="D368" s="684">
        <v>3</v>
      </c>
      <c r="E368" s="684">
        <v>2</v>
      </c>
      <c r="F368" t="s">
        <v>16</v>
      </c>
      <c r="G368" s="684">
        <v>1</v>
      </c>
      <c r="H368" s="684">
        <v>46.48</v>
      </c>
      <c r="I368" t="s">
        <v>700</v>
      </c>
    </row>
    <row r="369" spans="1:9">
      <c r="A369" s="177">
        <v>44743</v>
      </c>
      <c r="B369" t="s">
        <v>586</v>
      </c>
      <c r="C369" t="s">
        <v>575</v>
      </c>
      <c r="D369" s="684">
        <v>3</v>
      </c>
      <c r="E369" s="684">
        <v>2</v>
      </c>
      <c r="F369" t="s">
        <v>17</v>
      </c>
      <c r="G369" s="684">
        <v>1.0789</v>
      </c>
      <c r="H369" s="684">
        <v>50.15</v>
      </c>
      <c r="I369" t="s">
        <v>700</v>
      </c>
    </row>
    <row r="370" spans="1:9">
      <c r="A370" s="177">
        <v>44743</v>
      </c>
      <c r="B370" t="s">
        <v>586</v>
      </c>
      <c r="C370" t="s">
        <v>575</v>
      </c>
      <c r="D370" s="684">
        <v>3</v>
      </c>
      <c r="E370" s="684">
        <v>2</v>
      </c>
      <c r="F370" t="s">
        <v>18</v>
      </c>
      <c r="G370" s="684">
        <v>1</v>
      </c>
      <c r="H370" s="684">
        <v>46.48</v>
      </c>
      <c r="I370" t="s">
        <v>700</v>
      </c>
    </row>
    <row r="371" spans="1:9">
      <c r="A371" s="177">
        <v>44743</v>
      </c>
      <c r="B371" t="s">
        <v>586</v>
      </c>
      <c r="C371" t="s">
        <v>575</v>
      </c>
      <c r="D371" s="684">
        <v>3</v>
      </c>
      <c r="E371" s="684">
        <v>2</v>
      </c>
      <c r="F371" t="s">
        <v>19</v>
      </c>
      <c r="G371" s="684">
        <v>1</v>
      </c>
      <c r="H371" s="684">
        <v>46.48</v>
      </c>
      <c r="I371" t="s">
        <v>700</v>
      </c>
    </row>
    <row r="372" spans="1:9">
      <c r="A372" s="177">
        <v>44743</v>
      </c>
      <c r="B372" t="s">
        <v>586</v>
      </c>
      <c r="C372" t="s">
        <v>575</v>
      </c>
      <c r="D372" s="684">
        <v>3</v>
      </c>
      <c r="E372" s="684">
        <v>2</v>
      </c>
      <c r="F372" t="s">
        <v>20</v>
      </c>
      <c r="G372" s="684">
        <v>1.0629</v>
      </c>
      <c r="H372" s="684">
        <v>49.4</v>
      </c>
      <c r="I372" t="s">
        <v>700</v>
      </c>
    </row>
    <row r="373" spans="1:9">
      <c r="A373" s="177">
        <v>44743</v>
      </c>
      <c r="B373" t="s">
        <v>586</v>
      </c>
      <c r="C373" t="s">
        <v>575</v>
      </c>
      <c r="D373" s="684">
        <v>3</v>
      </c>
      <c r="E373" s="684">
        <v>2</v>
      </c>
      <c r="F373" t="s">
        <v>21</v>
      </c>
      <c r="G373" s="684">
        <v>1</v>
      </c>
      <c r="H373" s="684">
        <v>46.48</v>
      </c>
      <c r="I373" t="s">
        <v>700</v>
      </c>
    </row>
    <row r="374" spans="1:9">
      <c r="A374" s="177">
        <v>44743</v>
      </c>
      <c r="B374" t="s">
        <v>587</v>
      </c>
      <c r="C374" t="s">
        <v>575</v>
      </c>
      <c r="D374" s="684">
        <v>3</v>
      </c>
      <c r="E374" s="684">
        <v>3</v>
      </c>
      <c r="F374" t="s">
        <v>16</v>
      </c>
      <c r="G374" s="684">
        <v>1</v>
      </c>
      <c r="H374" s="684">
        <v>51.15</v>
      </c>
      <c r="I374" t="s">
        <v>700</v>
      </c>
    </row>
    <row r="375" spans="1:9">
      <c r="A375" s="177">
        <v>44743</v>
      </c>
      <c r="B375" t="s">
        <v>587</v>
      </c>
      <c r="C375" t="s">
        <v>575</v>
      </c>
      <c r="D375" s="684">
        <v>3</v>
      </c>
      <c r="E375" s="684">
        <v>3</v>
      </c>
      <c r="F375" t="s">
        <v>17</v>
      </c>
      <c r="G375" s="684">
        <v>1.0789</v>
      </c>
      <c r="H375" s="684">
        <v>55.19</v>
      </c>
      <c r="I375" t="s">
        <v>700</v>
      </c>
    </row>
    <row r="376" spans="1:9">
      <c r="A376" s="177">
        <v>44743</v>
      </c>
      <c r="B376" t="s">
        <v>587</v>
      </c>
      <c r="C376" t="s">
        <v>575</v>
      </c>
      <c r="D376" s="684">
        <v>3</v>
      </c>
      <c r="E376" s="684">
        <v>3</v>
      </c>
      <c r="F376" t="s">
        <v>18</v>
      </c>
      <c r="G376" s="684">
        <v>1</v>
      </c>
      <c r="H376" s="684">
        <v>51.15</v>
      </c>
      <c r="I376" t="s">
        <v>700</v>
      </c>
    </row>
    <row r="377" spans="1:9">
      <c r="A377" s="177">
        <v>44743</v>
      </c>
      <c r="B377" t="s">
        <v>587</v>
      </c>
      <c r="C377" t="s">
        <v>575</v>
      </c>
      <c r="D377" s="684">
        <v>3</v>
      </c>
      <c r="E377" s="684">
        <v>3</v>
      </c>
      <c r="F377" t="s">
        <v>19</v>
      </c>
      <c r="G377" s="684">
        <v>1</v>
      </c>
      <c r="H377" s="684">
        <v>51.15</v>
      </c>
      <c r="I377" t="s">
        <v>700</v>
      </c>
    </row>
    <row r="378" spans="1:9">
      <c r="A378" s="177">
        <v>44743</v>
      </c>
      <c r="B378" t="s">
        <v>587</v>
      </c>
      <c r="C378" t="s">
        <v>575</v>
      </c>
      <c r="D378" s="684">
        <v>3</v>
      </c>
      <c r="E378" s="684">
        <v>3</v>
      </c>
      <c r="F378" t="s">
        <v>20</v>
      </c>
      <c r="G378" s="684">
        <v>1.0629</v>
      </c>
      <c r="H378" s="684">
        <v>54.37</v>
      </c>
      <c r="I378" t="s">
        <v>700</v>
      </c>
    </row>
    <row r="379" spans="1:9">
      <c r="A379" s="177">
        <v>44743</v>
      </c>
      <c r="B379" t="s">
        <v>587</v>
      </c>
      <c r="C379" t="s">
        <v>575</v>
      </c>
      <c r="D379" s="684">
        <v>3</v>
      </c>
      <c r="E379" s="684">
        <v>3</v>
      </c>
      <c r="F379" t="s">
        <v>21</v>
      </c>
      <c r="G379" s="684">
        <v>1</v>
      </c>
      <c r="H379" s="684">
        <v>51.15</v>
      </c>
      <c r="I379" t="s">
        <v>700</v>
      </c>
    </row>
    <row r="380" spans="1:9">
      <c r="A380" s="177">
        <v>44743</v>
      </c>
      <c r="B380" t="s">
        <v>588</v>
      </c>
      <c r="C380" t="s">
        <v>575</v>
      </c>
      <c r="D380" s="684">
        <v>3</v>
      </c>
      <c r="E380" s="684">
        <v>4</v>
      </c>
      <c r="F380" t="s">
        <v>16</v>
      </c>
      <c r="G380" s="684">
        <v>1</v>
      </c>
      <c r="H380" s="684">
        <v>57.42</v>
      </c>
      <c r="I380" t="s">
        <v>700</v>
      </c>
    </row>
    <row r="381" spans="1:9">
      <c r="A381" s="177">
        <v>44743</v>
      </c>
      <c r="B381" t="s">
        <v>588</v>
      </c>
      <c r="C381" t="s">
        <v>575</v>
      </c>
      <c r="D381" s="684">
        <v>3</v>
      </c>
      <c r="E381" s="684">
        <v>4</v>
      </c>
      <c r="F381" t="s">
        <v>17</v>
      </c>
      <c r="G381" s="684">
        <v>1.0789</v>
      </c>
      <c r="H381" s="684">
        <v>61.95</v>
      </c>
      <c r="I381" t="s">
        <v>700</v>
      </c>
    </row>
    <row r="382" spans="1:9">
      <c r="A382" s="177">
        <v>44743</v>
      </c>
      <c r="B382" t="s">
        <v>588</v>
      </c>
      <c r="C382" t="s">
        <v>575</v>
      </c>
      <c r="D382" s="684">
        <v>3</v>
      </c>
      <c r="E382" s="684">
        <v>4</v>
      </c>
      <c r="F382" t="s">
        <v>18</v>
      </c>
      <c r="G382" s="684">
        <v>1</v>
      </c>
      <c r="H382" s="684">
        <v>57.42</v>
      </c>
      <c r="I382" t="s">
        <v>700</v>
      </c>
    </row>
    <row r="383" spans="1:9">
      <c r="A383" s="177">
        <v>44743</v>
      </c>
      <c r="B383" t="s">
        <v>588</v>
      </c>
      <c r="C383" t="s">
        <v>575</v>
      </c>
      <c r="D383" s="684">
        <v>3</v>
      </c>
      <c r="E383" s="684">
        <v>4</v>
      </c>
      <c r="F383" t="s">
        <v>19</v>
      </c>
      <c r="G383" s="684">
        <v>1</v>
      </c>
      <c r="H383" s="684">
        <v>57.42</v>
      </c>
      <c r="I383" t="s">
        <v>700</v>
      </c>
    </row>
    <row r="384" spans="1:9">
      <c r="A384" s="177">
        <v>44743</v>
      </c>
      <c r="B384" t="s">
        <v>588</v>
      </c>
      <c r="C384" t="s">
        <v>575</v>
      </c>
      <c r="D384" s="684">
        <v>3</v>
      </c>
      <c r="E384" s="684">
        <v>4</v>
      </c>
      <c r="F384" t="s">
        <v>20</v>
      </c>
      <c r="G384" s="684">
        <v>1.0629</v>
      </c>
      <c r="H384" s="684">
        <v>61.03</v>
      </c>
      <c r="I384" t="s">
        <v>700</v>
      </c>
    </row>
    <row r="385" spans="1:9">
      <c r="A385" s="177">
        <v>44743</v>
      </c>
      <c r="B385" t="s">
        <v>588</v>
      </c>
      <c r="C385" t="s">
        <v>575</v>
      </c>
      <c r="D385" s="684">
        <v>3</v>
      </c>
      <c r="E385" s="684">
        <v>4</v>
      </c>
      <c r="F385" t="s">
        <v>21</v>
      </c>
      <c r="G385" s="684">
        <v>1</v>
      </c>
      <c r="H385" s="684">
        <v>57.42</v>
      </c>
      <c r="I385" t="s">
        <v>700</v>
      </c>
    </row>
    <row r="386" spans="1:9">
      <c r="A386" s="177">
        <v>44743</v>
      </c>
      <c r="B386" t="s">
        <v>589</v>
      </c>
      <c r="C386" t="s">
        <v>575</v>
      </c>
      <c r="D386" s="684">
        <v>3</v>
      </c>
      <c r="E386" s="684">
        <v>5</v>
      </c>
      <c r="F386" t="s">
        <v>16</v>
      </c>
      <c r="G386" s="684">
        <v>1</v>
      </c>
      <c r="H386" s="684">
        <v>62.97</v>
      </c>
      <c r="I386" t="s">
        <v>700</v>
      </c>
    </row>
    <row r="387" spans="1:9">
      <c r="A387" s="177">
        <v>44743</v>
      </c>
      <c r="B387" t="s">
        <v>589</v>
      </c>
      <c r="C387" t="s">
        <v>575</v>
      </c>
      <c r="D387" s="684">
        <v>3</v>
      </c>
      <c r="E387" s="684">
        <v>5</v>
      </c>
      <c r="F387" t="s">
        <v>17</v>
      </c>
      <c r="G387" s="684">
        <v>1.0789</v>
      </c>
      <c r="H387" s="684">
        <v>67.94</v>
      </c>
      <c r="I387" t="s">
        <v>700</v>
      </c>
    </row>
    <row r="388" spans="1:9">
      <c r="A388" s="177">
        <v>44743</v>
      </c>
      <c r="B388" t="s">
        <v>589</v>
      </c>
      <c r="C388" t="s">
        <v>575</v>
      </c>
      <c r="D388" s="684">
        <v>3</v>
      </c>
      <c r="E388" s="684">
        <v>5</v>
      </c>
      <c r="F388" t="s">
        <v>18</v>
      </c>
      <c r="G388" s="684">
        <v>1</v>
      </c>
      <c r="H388" s="684">
        <v>62.97</v>
      </c>
      <c r="I388" t="s">
        <v>700</v>
      </c>
    </row>
    <row r="389" spans="1:9">
      <c r="A389" s="177">
        <v>44743</v>
      </c>
      <c r="B389" t="s">
        <v>589</v>
      </c>
      <c r="C389" t="s">
        <v>575</v>
      </c>
      <c r="D389" s="684">
        <v>3</v>
      </c>
      <c r="E389" s="684">
        <v>5</v>
      </c>
      <c r="F389" t="s">
        <v>19</v>
      </c>
      <c r="G389" s="684">
        <v>1</v>
      </c>
      <c r="H389" s="684">
        <v>62.97</v>
      </c>
      <c r="I389" t="s">
        <v>700</v>
      </c>
    </row>
    <row r="390" spans="1:9">
      <c r="A390" s="177">
        <v>44743</v>
      </c>
      <c r="B390" t="s">
        <v>589</v>
      </c>
      <c r="C390" t="s">
        <v>575</v>
      </c>
      <c r="D390" s="684">
        <v>3</v>
      </c>
      <c r="E390" s="684">
        <v>5</v>
      </c>
      <c r="F390" t="s">
        <v>20</v>
      </c>
      <c r="G390" s="684">
        <v>1.0629</v>
      </c>
      <c r="H390" s="684">
        <v>66.930000000000007</v>
      </c>
      <c r="I390" t="s">
        <v>700</v>
      </c>
    </row>
    <row r="391" spans="1:9">
      <c r="A391" s="177">
        <v>44743</v>
      </c>
      <c r="B391" t="s">
        <v>589</v>
      </c>
      <c r="C391" t="s">
        <v>575</v>
      </c>
      <c r="D391" s="684">
        <v>3</v>
      </c>
      <c r="E391" s="684">
        <v>5</v>
      </c>
      <c r="F391" t="s">
        <v>21</v>
      </c>
      <c r="G391" s="684">
        <v>1</v>
      </c>
      <c r="H391" s="684">
        <v>62.97</v>
      </c>
      <c r="I391" t="s">
        <v>700</v>
      </c>
    </row>
    <row r="392" spans="1:9">
      <c r="A392" s="177">
        <v>44743</v>
      </c>
      <c r="B392" t="s">
        <v>590</v>
      </c>
      <c r="C392" t="s">
        <v>575</v>
      </c>
      <c r="D392" s="684">
        <v>4</v>
      </c>
      <c r="E392" s="684">
        <v>1</v>
      </c>
      <c r="F392" t="s">
        <v>16</v>
      </c>
      <c r="G392" s="684">
        <v>1</v>
      </c>
      <c r="H392" s="684">
        <v>54.37</v>
      </c>
      <c r="I392" t="s">
        <v>700</v>
      </c>
    </row>
    <row r="393" spans="1:9">
      <c r="A393" s="177">
        <v>44743</v>
      </c>
      <c r="B393" t="s">
        <v>590</v>
      </c>
      <c r="C393" t="s">
        <v>575</v>
      </c>
      <c r="D393" s="684">
        <v>4</v>
      </c>
      <c r="E393" s="684">
        <v>1</v>
      </c>
      <c r="F393" t="s">
        <v>17</v>
      </c>
      <c r="G393" s="684">
        <v>1.0789</v>
      </c>
      <c r="H393" s="684">
        <v>58.66</v>
      </c>
      <c r="I393" t="s">
        <v>700</v>
      </c>
    </row>
    <row r="394" spans="1:9">
      <c r="A394" s="177">
        <v>44743</v>
      </c>
      <c r="B394" t="s">
        <v>590</v>
      </c>
      <c r="C394" t="s">
        <v>575</v>
      </c>
      <c r="D394" s="684">
        <v>4</v>
      </c>
      <c r="E394" s="684">
        <v>1</v>
      </c>
      <c r="F394" t="s">
        <v>18</v>
      </c>
      <c r="G394" s="684">
        <v>1</v>
      </c>
      <c r="H394" s="684">
        <v>54.37</v>
      </c>
      <c r="I394" t="s">
        <v>700</v>
      </c>
    </row>
    <row r="395" spans="1:9">
      <c r="A395" s="177">
        <v>44743</v>
      </c>
      <c r="B395" t="s">
        <v>590</v>
      </c>
      <c r="C395" t="s">
        <v>575</v>
      </c>
      <c r="D395" s="684">
        <v>4</v>
      </c>
      <c r="E395" s="684">
        <v>1</v>
      </c>
      <c r="F395" t="s">
        <v>19</v>
      </c>
      <c r="G395" s="684">
        <v>1</v>
      </c>
      <c r="H395" s="684">
        <v>54.37</v>
      </c>
      <c r="I395" t="s">
        <v>700</v>
      </c>
    </row>
    <row r="396" spans="1:9">
      <c r="A396" s="177">
        <v>44743</v>
      </c>
      <c r="B396" t="s">
        <v>590</v>
      </c>
      <c r="C396" t="s">
        <v>575</v>
      </c>
      <c r="D396" s="684">
        <v>4</v>
      </c>
      <c r="E396" s="684">
        <v>1</v>
      </c>
      <c r="F396" t="s">
        <v>20</v>
      </c>
      <c r="G396" s="684">
        <v>1.0629</v>
      </c>
      <c r="H396" s="684">
        <v>57.79</v>
      </c>
      <c r="I396" t="s">
        <v>700</v>
      </c>
    </row>
    <row r="397" spans="1:9">
      <c r="A397" s="177">
        <v>44743</v>
      </c>
      <c r="B397" t="s">
        <v>590</v>
      </c>
      <c r="C397" t="s">
        <v>575</v>
      </c>
      <c r="D397" s="684">
        <v>4</v>
      </c>
      <c r="E397" s="684">
        <v>1</v>
      </c>
      <c r="F397" t="s">
        <v>21</v>
      </c>
      <c r="G397" s="684">
        <v>1</v>
      </c>
      <c r="H397" s="684">
        <v>54.37</v>
      </c>
      <c r="I397" t="s">
        <v>700</v>
      </c>
    </row>
    <row r="398" spans="1:9">
      <c r="A398" s="177">
        <v>44743</v>
      </c>
      <c r="B398" t="s">
        <v>591</v>
      </c>
      <c r="C398" t="s">
        <v>575</v>
      </c>
      <c r="D398" s="684">
        <v>4</v>
      </c>
      <c r="E398" s="684">
        <v>2</v>
      </c>
      <c r="F398" t="s">
        <v>16</v>
      </c>
      <c r="G398" s="684">
        <v>1</v>
      </c>
      <c r="H398" s="684">
        <v>57.27</v>
      </c>
      <c r="I398" t="s">
        <v>700</v>
      </c>
    </row>
    <row r="399" spans="1:9">
      <c r="A399" s="177">
        <v>44743</v>
      </c>
      <c r="B399" t="s">
        <v>591</v>
      </c>
      <c r="C399" t="s">
        <v>575</v>
      </c>
      <c r="D399" s="684">
        <v>4</v>
      </c>
      <c r="E399" s="684">
        <v>2</v>
      </c>
      <c r="F399" t="s">
        <v>17</v>
      </c>
      <c r="G399" s="684">
        <v>1.0789</v>
      </c>
      <c r="H399" s="684">
        <v>61.79</v>
      </c>
      <c r="I399" t="s">
        <v>700</v>
      </c>
    </row>
    <row r="400" spans="1:9">
      <c r="A400" s="177">
        <v>44743</v>
      </c>
      <c r="B400" t="s">
        <v>591</v>
      </c>
      <c r="C400" t="s">
        <v>575</v>
      </c>
      <c r="D400" s="684">
        <v>4</v>
      </c>
      <c r="E400" s="684">
        <v>2</v>
      </c>
      <c r="F400" t="s">
        <v>18</v>
      </c>
      <c r="G400" s="684">
        <v>1</v>
      </c>
      <c r="H400" s="684">
        <v>57.27</v>
      </c>
      <c r="I400" t="s">
        <v>700</v>
      </c>
    </row>
    <row r="401" spans="1:9">
      <c r="A401" s="177">
        <v>44743</v>
      </c>
      <c r="B401" t="s">
        <v>591</v>
      </c>
      <c r="C401" t="s">
        <v>575</v>
      </c>
      <c r="D401" s="684">
        <v>4</v>
      </c>
      <c r="E401" s="684">
        <v>2</v>
      </c>
      <c r="F401" t="s">
        <v>19</v>
      </c>
      <c r="G401" s="684">
        <v>1</v>
      </c>
      <c r="H401" s="684">
        <v>57.27</v>
      </c>
      <c r="I401" t="s">
        <v>700</v>
      </c>
    </row>
    <row r="402" spans="1:9">
      <c r="A402" s="177">
        <v>44743</v>
      </c>
      <c r="B402" t="s">
        <v>591</v>
      </c>
      <c r="C402" t="s">
        <v>575</v>
      </c>
      <c r="D402" s="684">
        <v>4</v>
      </c>
      <c r="E402" s="684">
        <v>2</v>
      </c>
      <c r="F402" t="s">
        <v>20</v>
      </c>
      <c r="G402" s="684">
        <v>1.0629</v>
      </c>
      <c r="H402" s="684">
        <v>60.87</v>
      </c>
      <c r="I402" t="s">
        <v>700</v>
      </c>
    </row>
    <row r="403" spans="1:9">
      <c r="A403" s="177">
        <v>44743</v>
      </c>
      <c r="B403" t="s">
        <v>591</v>
      </c>
      <c r="C403" t="s">
        <v>575</v>
      </c>
      <c r="D403" s="684">
        <v>4</v>
      </c>
      <c r="E403" s="684">
        <v>2</v>
      </c>
      <c r="F403" t="s">
        <v>21</v>
      </c>
      <c r="G403" s="684">
        <v>1</v>
      </c>
      <c r="H403" s="684">
        <v>57.27</v>
      </c>
      <c r="I403" t="s">
        <v>700</v>
      </c>
    </row>
    <row r="404" spans="1:9">
      <c r="A404" s="177">
        <v>44743</v>
      </c>
      <c r="B404" t="s">
        <v>592</v>
      </c>
      <c r="C404" t="s">
        <v>575</v>
      </c>
      <c r="D404" s="684">
        <v>4</v>
      </c>
      <c r="E404" s="684">
        <v>3</v>
      </c>
      <c r="F404" t="s">
        <v>16</v>
      </c>
      <c r="G404" s="684">
        <v>1</v>
      </c>
      <c r="H404" s="684">
        <v>61.94</v>
      </c>
      <c r="I404" t="s">
        <v>700</v>
      </c>
    </row>
    <row r="405" spans="1:9">
      <c r="A405" s="177">
        <v>44743</v>
      </c>
      <c r="B405" t="s">
        <v>592</v>
      </c>
      <c r="C405" t="s">
        <v>575</v>
      </c>
      <c r="D405" s="684">
        <v>4</v>
      </c>
      <c r="E405" s="684">
        <v>3</v>
      </c>
      <c r="F405" t="s">
        <v>17</v>
      </c>
      <c r="G405" s="684">
        <v>1.0789</v>
      </c>
      <c r="H405" s="684">
        <v>66.83</v>
      </c>
      <c r="I405" t="s">
        <v>700</v>
      </c>
    </row>
    <row r="406" spans="1:9">
      <c r="A406" s="177">
        <v>44743</v>
      </c>
      <c r="B406" t="s">
        <v>592</v>
      </c>
      <c r="C406" t="s">
        <v>575</v>
      </c>
      <c r="D406" s="684">
        <v>4</v>
      </c>
      <c r="E406" s="684">
        <v>3</v>
      </c>
      <c r="F406" t="s">
        <v>18</v>
      </c>
      <c r="G406" s="684">
        <v>1</v>
      </c>
      <c r="H406" s="684">
        <v>61.94</v>
      </c>
      <c r="I406" t="s">
        <v>700</v>
      </c>
    </row>
    <row r="407" spans="1:9">
      <c r="A407" s="177">
        <v>44743</v>
      </c>
      <c r="B407" t="s">
        <v>592</v>
      </c>
      <c r="C407" t="s">
        <v>575</v>
      </c>
      <c r="D407" s="684">
        <v>4</v>
      </c>
      <c r="E407" s="684">
        <v>3</v>
      </c>
      <c r="F407" t="s">
        <v>19</v>
      </c>
      <c r="G407" s="684">
        <v>1</v>
      </c>
      <c r="H407" s="684">
        <v>61.94</v>
      </c>
      <c r="I407" t="s">
        <v>700</v>
      </c>
    </row>
    <row r="408" spans="1:9">
      <c r="A408" s="177">
        <v>44743</v>
      </c>
      <c r="B408" t="s">
        <v>592</v>
      </c>
      <c r="C408" t="s">
        <v>575</v>
      </c>
      <c r="D408" s="684">
        <v>4</v>
      </c>
      <c r="E408" s="684">
        <v>3</v>
      </c>
      <c r="F408" t="s">
        <v>20</v>
      </c>
      <c r="G408" s="684">
        <v>1.0629</v>
      </c>
      <c r="H408" s="684">
        <v>65.84</v>
      </c>
      <c r="I408" t="s">
        <v>700</v>
      </c>
    </row>
    <row r="409" spans="1:9">
      <c r="A409" s="177">
        <v>44743</v>
      </c>
      <c r="B409" t="s">
        <v>592</v>
      </c>
      <c r="C409" t="s">
        <v>575</v>
      </c>
      <c r="D409" s="684">
        <v>4</v>
      </c>
      <c r="E409" s="684">
        <v>3</v>
      </c>
      <c r="F409" t="s">
        <v>21</v>
      </c>
      <c r="G409" s="684">
        <v>1</v>
      </c>
      <c r="H409" s="684">
        <v>61.94</v>
      </c>
      <c r="I409" t="s">
        <v>700</v>
      </c>
    </row>
    <row r="410" spans="1:9">
      <c r="A410" s="177">
        <v>44743</v>
      </c>
      <c r="B410" t="s">
        <v>593</v>
      </c>
      <c r="C410" t="s">
        <v>575</v>
      </c>
      <c r="D410" s="684">
        <v>4</v>
      </c>
      <c r="E410" s="684">
        <v>4</v>
      </c>
      <c r="F410" t="s">
        <v>16</v>
      </c>
      <c r="G410" s="684">
        <v>1</v>
      </c>
      <c r="H410" s="684">
        <v>68.25</v>
      </c>
      <c r="I410" t="s">
        <v>700</v>
      </c>
    </row>
    <row r="411" spans="1:9">
      <c r="A411" s="177">
        <v>44743</v>
      </c>
      <c r="B411" t="s">
        <v>593</v>
      </c>
      <c r="C411" t="s">
        <v>575</v>
      </c>
      <c r="D411" s="684">
        <v>4</v>
      </c>
      <c r="E411" s="684">
        <v>4</v>
      </c>
      <c r="F411" t="s">
        <v>17</v>
      </c>
      <c r="G411" s="684">
        <v>1.0789</v>
      </c>
      <c r="H411" s="684">
        <v>73.63</v>
      </c>
      <c r="I411" t="s">
        <v>700</v>
      </c>
    </row>
    <row r="412" spans="1:9">
      <c r="A412" s="177">
        <v>44743</v>
      </c>
      <c r="B412" t="s">
        <v>593</v>
      </c>
      <c r="C412" t="s">
        <v>575</v>
      </c>
      <c r="D412" s="684">
        <v>4</v>
      </c>
      <c r="E412" s="684">
        <v>4</v>
      </c>
      <c r="F412" t="s">
        <v>18</v>
      </c>
      <c r="G412" s="684">
        <v>1</v>
      </c>
      <c r="H412" s="684">
        <v>68.25</v>
      </c>
      <c r="I412" t="s">
        <v>700</v>
      </c>
    </row>
    <row r="413" spans="1:9">
      <c r="A413" s="177">
        <v>44743</v>
      </c>
      <c r="B413" t="s">
        <v>593</v>
      </c>
      <c r="C413" t="s">
        <v>575</v>
      </c>
      <c r="D413" s="684">
        <v>4</v>
      </c>
      <c r="E413" s="684">
        <v>4</v>
      </c>
      <c r="F413" t="s">
        <v>19</v>
      </c>
      <c r="G413" s="684">
        <v>1</v>
      </c>
      <c r="H413" s="684">
        <v>68.25</v>
      </c>
      <c r="I413" t="s">
        <v>700</v>
      </c>
    </row>
    <row r="414" spans="1:9">
      <c r="A414" s="177">
        <v>44743</v>
      </c>
      <c r="B414" t="s">
        <v>593</v>
      </c>
      <c r="C414" t="s">
        <v>575</v>
      </c>
      <c r="D414" s="684">
        <v>4</v>
      </c>
      <c r="E414" s="684">
        <v>4</v>
      </c>
      <c r="F414" t="s">
        <v>20</v>
      </c>
      <c r="G414" s="684">
        <v>1.0629</v>
      </c>
      <c r="H414" s="684">
        <v>72.540000000000006</v>
      </c>
      <c r="I414" t="s">
        <v>700</v>
      </c>
    </row>
    <row r="415" spans="1:9">
      <c r="A415" s="177">
        <v>44743</v>
      </c>
      <c r="B415" t="s">
        <v>593</v>
      </c>
      <c r="C415" t="s">
        <v>575</v>
      </c>
      <c r="D415" s="684">
        <v>4</v>
      </c>
      <c r="E415" s="684">
        <v>4</v>
      </c>
      <c r="F415" t="s">
        <v>21</v>
      </c>
      <c r="G415" s="684">
        <v>1</v>
      </c>
      <c r="H415" s="684">
        <v>68.25</v>
      </c>
      <c r="I415" t="s">
        <v>700</v>
      </c>
    </row>
    <row r="416" spans="1:9">
      <c r="A416" s="177">
        <v>44743</v>
      </c>
      <c r="B416" t="s">
        <v>594</v>
      </c>
      <c r="C416" t="s">
        <v>575</v>
      </c>
      <c r="D416" s="684">
        <v>4</v>
      </c>
      <c r="E416" s="684">
        <v>5</v>
      </c>
      <c r="F416" t="s">
        <v>16</v>
      </c>
      <c r="G416" s="684">
        <v>1</v>
      </c>
      <c r="H416" s="684">
        <v>73.77</v>
      </c>
      <c r="I416" t="s">
        <v>700</v>
      </c>
    </row>
    <row r="417" spans="1:9">
      <c r="A417" s="177">
        <v>44743</v>
      </c>
      <c r="B417" t="s">
        <v>594</v>
      </c>
      <c r="C417" t="s">
        <v>575</v>
      </c>
      <c r="D417" s="684">
        <v>4</v>
      </c>
      <c r="E417" s="684">
        <v>5</v>
      </c>
      <c r="F417" t="s">
        <v>17</v>
      </c>
      <c r="G417" s="684">
        <v>1.0789</v>
      </c>
      <c r="H417" s="684">
        <v>79.59</v>
      </c>
      <c r="I417" t="s">
        <v>700</v>
      </c>
    </row>
    <row r="418" spans="1:9">
      <c r="A418" s="177">
        <v>44743</v>
      </c>
      <c r="B418" t="s">
        <v>594</v>
      </c>
      <c r="C418" t="s">
        <v>575</v>
      </c>
      <c r="D418" s="684">
        <v>4</v>
      </c>
      <c r="E418" s="684">
        <v>5</v>
      </c>
      <c r="F418" t="s">
        <v>18</v>
      </c>
      <c r="G418" s="684">
        <v>1</v>
      </c>
      <c r="H418" s="684">
        <v>73.77</v>
      </c>
      <c r="I418" t="s">
        <v>700</v>
      </c>
    </row>
    <row r="419" spans="1:9">
      <c r="A419" s="177">
        <v>44743</v>
      </c>
      <c r="B419" t="s">
        <v>594</v>
      </c>
      <c r="C419" t="s">
        <v>575</v>
      </c>
      <c r="D419" s="684">
        <v>4</v>
      </c>
      <c r="E419" s="684">
        <v>5</v>
      </c>
      <c r="F419" t="s">
        <v>19</v>
      </c>
      <c r="G419" s="684">
        <v>1</v>
      </c>
      <c r="H419" s="684">
        <v>73.77</v>
      </c>
      <c r="I419" t="s">
        <v>700</v>
      </c>
    </row>
    <row r="420" spans="1:9">
      <c r="A420" s="177">
        <v>44743</v>
      </c>
      <c r="B420" t="s">
        <v>594</v>
      </c>
      <c r="C420" t="s">
        <v>575</v>
      </c>
      <c r="D420" s="684">
        <v>4</v>
      </c>
      <c r="E420" s="684">
        <v>5</v>
      </c>
      <c r="F420" t="s">
        <v>20</v>
      </c>
      <c r="G420" s="684">
        <v>1.0629</v>
      </c>
      <c r="H420" s="684">
        <v>78.41</v>
      </c>
      <c r="I420" t="s">
        <v>700</v>
      </c>
    </row>
    <row r="421" spans="1:9">
      <c r="A421" s="177">
        <v>44743</v>
      </c>
      <c r="B421" t="s">
        <v>594</v>
      </c>
      <c r="C421" t="s">
        <v>575</v>
      </c>
      <c r="D421" s="684">
        <v>4</v>
      </c>
      <c r="E421" s="684">
        <v>5</v>
      </c>
      <c r="F421" t="s">
        <v>21</v>
      </c>
      <c r="G421" s="684">
        <v>1</v>
      </c>
      <c r="H421" s="684">
        <v>73.77</v>
      </c>
      <c r="I421" t="s">
        <v>700</v>
      </c>
    </row>
    <row r="422" spans="1:9">
      <c r="A422" s="177">
        <v>44743</v>
      </c>
      <c r="B422" t="s">
        <v>595</v>
      </c>
      <c r="C422" t="s">
        <v>575</v>
      </c>
      <c r="D422" s="684">
        <v>5</v>
      </c>
      <c r="E422" s="684">
        <v>1</v>
      </c>
      <c r="F422" t="s">
        <v>16</v>
      </c>
      <c r="G422" s="684">
        <v>1</v>
      </c>
      <c r="H422" s="684">
        <v>75.709999999999994</v>
      </c>
      <c r="I422" t="s">
        <v>700</v>
      </c>
    </row>
    <row r="423" spans="1:9">
      <c r="A423" s="177">
        <v>44743</v>
      </c>
      <c r="B423" t="s">
        <v>595</v>
      </c>
      <c r="C423" t="s">
        <v>575</v>
      </c>
      <c r="D423" s="684">
        <v>5</v>
      </c>
      <c r="E423" s="684">
        <v>1</v>
      </c>
      <c r="F423" t="s">
        <v>17</v>
      </c>
      <c r="G423" s="684">
        <v>1.0789</v>
      </c>
      <c r="H423" s="684">
        <v>81.680000000000007</v>
      </c>
      <c r="I423" t="s">
        <v>700</v>
      </c>
    </row>
    <row r="424" spans="1:9">
      <c r="A424" s="177">
        <v>44743</v>
      </c>
      <c r="B424" t="s">
        <v>595</v>
      </c>
      <c r="C424" t="s">
        <v>575</v>
      </c>
      <c r="D424" s="684">
        <v>5</v>
      </c>
      <c r="E424" s="684">
        <v>1</v>
      </c>
      <c r="F424" t="s">
        <v>18</v>
      </c>
      <c r="G424" s="684">
        <v>1</v>
      </c>
      <c r="H424" s="684">
        <v>75.709999999999994</v>
      </c>
      <c r="I424" t="s">
        <v>700</v>
      </c>
    </row>
    <row r="425" spans="1:9">
      <c r="A425" s="177">
        <v>44743</v>
      </c>
      <c r="B425" t="s">
        <v>595</v>
      </c>
      <c r="C425" t="s">
        <v>575</v>
      </c>
      <c r="D425" s="684">
        <v>5</v>
      </c>
      <c r="E425" s="684">
        <v>1</v>
      </c>
      <c r="F425" t="s">
        <v>19</v>
      </c>
      <c r="G425" s="684">
        <v>1</v>
      </c>
      <c r="H425" s="684">
        <v>75.709999999999994</v>
      </c>
      <c r="I425" t="s">
        <v>700</v>
      </c>
    </row>
    <row r="426" spans="1:9">
      <c r="A426" s="177">
        <v>44743</v>
      </c>
      <c r="B426" t="s">
        <v>595</v>
      </c>
      <c r="C426" t="s">
        <v>575</v>
      </c>
      <c r="D426" s="684">
        <v>5</v>
      </c>
      <c r="E426" s="684">
        <v>1</v>
      </c>
      <c r="F426" t="s">
        <v>20</v>
      </c>
      <c r="G426" s="684">
        <v>1.0629</v>
      </c>
      <c r="H426" s="684">
        <v>80.47</v>
      </c>
      <c r="I426" t="s">
        <v>700</v>
      </c>
    </row>
    <row r="427" spans="1:9">
      <c r="A427" s="177">
        <v>44743</v>
      </c>
      <c r="B427" t="s">
        <v>595</v>
      </c>
      <c r="C427" t="s">
        <v>575</v>
      </c>
      <c r="D427" s="684">
        <v>5</v>
      </c>
      <c r="E427" s="684">
        <v>1</v>
      </c>
      <c r="F427" t="s">
        <v>21</v>
      </c>
      <c r="G427" s="684">
        <v>1</v>
      </c>
      <c r="H427" s="684">
        <v>75.709999999999994</v>
      </c>
      <c r="I427" t="s">
        <v>700</v>
      </c>
    </row>
    <row r="428" spans="1:9">
      <c r="A428" s="177">
        <v>44743</v>
      </c>
      <c r="B428" t="s">
        <v>596</v>
      </c>
      <c r="C428" t="s">
        <v>575</v>
      </c>
      <c r="D428" s="684">
        <v>5</v>
      </c>
      <c r="E428" s="684">
        <v>2</v>
      </c>
      <c r="F428" t="s">
        <v>16</v>
      </c>
      <c r="G428" s="684">
        <v>1</v>
      </c>
      <c r="H428" s="684">
        <v>78.59</v>
      </c>
      <c r="I428" t="s">
        <v>700</v>
      </c>
    </row>
    <row r="429" spans="1:9">
      <c r="A429" s="177">
        <v>44743</v>
      </c>
      <c r="B429" t="s">
        <v>596</v>
      </c>
      <c r="C429" t="s">
        <v>575</v>
      </c>
      <c r="D429" s="684">
        <v>5</v>
      </c>
      <c r="E429" s="684">
        <v>2</v>
      </c>
      <c r="F429" t="s">
        <v>17</v>
      </c>
      <c r="G429" s="684">
        <v>1.0789</v>
      </c>
      <c r="H429" s="684">
        <v>84.79</v>
      </c>
      <c r="I429" t="s">
        <v>700</v>
      </c>
    </row>
    <row r="430" spans="1:9">
      <c r="A430" s="177">
        <v>44743</v>
      </c>
      <c r="B430" t="s">
        <v>596</v>
      </c>
      <c r="C430" t="s">
        <v>575</v>
      </c>
      <c r="D430" s="684">
        <v>5</v>
      </c>
      <c r="E430" s="684">
        <v>2</v>
      </c>
      <c r="F430" t="s">
        <v>18</v>
      </c>
      <c r="G430" s="684">
        <v>1</v>
      </c>
      <c r="H430" s="684">
        <v>78.59</v>
      </c>
      <c r="I430" t="s">
        <v>700</v>
      </c>
    </row>
    <row r="431" spans="1:9">
      <c r="A431" s="177">
        <v>44743</v>
      </c>
      <c r="B431" t="s">
        <v>596</v>
      </c>
      <c r="C431" t="s">
        <v>575</v>
      </c>
      <c r="D431" s="684">
        <v>5</v>
      </c>
      <c r="E431" s="684">
        <v>2</v>
      </c>
      <c r="F431" t="s">
        <v>19</v>
      </c>
      <c r="G431" s="684">
        <v>1</v>
      </c>
      <c r="H431" s="684">
        <v>78.59</v>
      </c>
      <c r="I431" t="s">
        <v>700</v>
      </c>
    </row>
    <row r="432" spans="1:9">
      <c r="A432" s="177">
        <v>44743</v>
      </c>
      <c r="B432" t="s">
        <v>596</v>
      </c>
      <c r="C432" t="s">
        <v>575</v>
      </c>
      <c r="D432" s="684">
        <v>5</v>
      </c>
      <c r="E432" s="684">
        <v>2</v>
      </c>
      <c r="F432" t="s">
        <v>20</v>
      </c>
      <c r="G432" s="684">
        <v>1.0629</v>
      </c>
      <c r="H432" s="684">
        <v>83.53</v>
      </c>
      <c r="I432" t="s">
        <v>700</v>
      </c>
    </row>
    <row r="433" spans="1:9">
      <c r="A433" s="177">
        <v>44743</v>
      </c>
      <c r="B433" t="s">
        <v>596</v>
      </c>
      <c r="C433" t="s">
        <v>575</v>
      </c>
      <c r="D433" s="684">
        <v>5</v>
      </c>
      <c r="E433" s="684">
        <v>2</v>
      </c>
      <c r="F433" t="s">
        <v>21</v>
      </c>
      <c r="G433" s="684">
        <v>1</v>
      </c>
      <c r="H433" s="684">
        <v>78.59</v>
      </c>
      <c r="I433" t="s">
        <v>700</v>
      </c>
    </row>
    <row r="434" spans="1:9">
      <c r="A434" s="177">
        <v>44743</v>
      </c>
      <c r="B434" t="s">
        <v>597</v>
      </c>
      <c r="C434" t="s">
        <v>575</v>
      </c>
      <c r="D434" s="684">
        <v>5</v>
      </c>
      <c r="E434" s="684">
        <v>3</v>
      </c>
      <c r="F434" t="s">
        <v>16</v>
      </c>
      <c r="G434" s="684">
        <v>1</v>
      </c>
      <c r="H434" s="684">
        <v>83.25</v>
      </c>
      <c r="I434" t="s">
        <v>700</v>
      </c>
    </row>
    <row r="435" spans="1:9">
      <c r="A435" s="177">
        <v>44743</v>
      </c>
      <c r="B435" t="s">
        <v>597</v>
      </c>
      <c r="C435" t="s">
        <v>575</v>
      </c>
      <c r="D435" s="684">
        <v>5</v>
      </c>
      <c r="E435" s="684">
        <v>3</v>
      </c>
      <c r="F435" t="s">
        <v>17</v>
      </c>
      <c r="G435" s="684">
        <v>1.0789</v>
      </c>
      <c r="H435" s="684">
        <v>89.82</v>
      </c>
      <c r="I435" t="s">
        <v>700</v>
      </c>
    </row>
    <row r="436" spans="1:9">
      <c r="A436" s="177">
        <v>44743</v>
      </c>
      <c r="B436" t="s">
        <v>597</v>
      </c>
      <c r="C436" t="s">
        <v>575</v>
      </c>
      <c r="D436" s="684">
        <v>5</v>
      </c>
      <c r="E436" s="684">
        <v>3</v>
      </c>
      <c r="F436" t="s">
        <v>18</v>
      </c>
      <c r="G436" s="684">
        <v>1</v>
      </c>
      <c r="H436" s="684">
        <v>83.25</v>
      </c>
      <c r="I436" t="s">
        <v>700</v>
      </c>
    </row>
    <row r="437" spans="1:9">
      <c r="A437" s="177">
        <v>44743</v>
      </c>
      <c r="B437" t="s">
        <v>597</v>
      </c>
      <c r="C437" t="s">
        <v>575</v>
      </c>
      <c r="D437" s="684">
        <v>5</v>
      </c>
      <c r="E437" s="684">
        <v>3</v>
      </c>
      <c r="F437" t="s">
        <v>19</v>
      </c>
      <c r="G437" s="684">
        <v>1</v>
      </c>
      <c r="H437" s="684">
        <v>83.25</v>
      </c>
      <c r="I437" t="s">
        <v>700</v>
      </c>
    </row>
    <row r="438" spans="1:9">
      <c r="A438" s="177">
        <v>44743</v>
      </c>
      <c r="B438" t="s">
        <v>597</v>
      </c>
      <c r="C438" t="s">
        <v>575</v>
      </c>
      <c r="D438" s="684">
        <v>5</v>
      </c>
      <c r="E438" s="684">
        <v>3</v>
      </c>
      <c r="F438" t="s">
        <v>20</v>
      </c>
      <c r="G438" s="684">
        <v>1.0629</v>
      </c>
      <c r="H438" s="684">
        <v>88.49</v>
      </c>
      <c r="I438" t="s">
        <v>700</v>
      </c>
    </row>
    <row r="439" spans="1:9">
      <c r="A439" s="177">
        <v>44743</v>
      </c>
      <c r="B439" t="s">
        <v>597</v>
      </c>
      <c r="C439" t="s">
        <v>575</v>
      </c>
      <c r="D439" s="684">
        <v>5</v>
      </c>
      <c r="E439" s="684">
        <v>3</v>
      </c>
      <c r="F439" t="s">
        <v>21</v>
      </c>
      <c r="G439" s="684">
        <v>1</v>
      </c>
      <c r="H439" s="684">
        <v>83.25</v>
      </c>
      <c r="I439" t="s">
        <v>700</v>
      </c>
    </row>
    <row r="440" spans="1:9">
      <c r="A440" s="177">
        <v>44743</v>
      </c>
      <c r="B440" t="s">
        <v>598</v>
      </c>
      <c r="C440" t="s">
        <v>575</v>
      </c>
      <c r="D440" s="684">
        <v>5</v>
      </c>
      <c r="E440" s="684">
        <v>4</v>
      </c>
      <c r="F440" t="s">
        <v>16</v>
      </c>
      <c r="G440" s="684">
        <v>1</v>
      </c>
      <c r="H440" s="684">
        <v>89.55</v>
      </c>
      <c r="I440" t="s">
        <v>700</v>
      </c>
    </row>
    <row r="441" spans="1:9">
      <c r="A441" s="177">
        <v>44743</v>
      </c>
      <c r="B441" t="s">
        <v>598</v>
      </c>
      <c r="C441" t="s">
        <v>575</v>
      </c>
      <c r="D441" s="684">
        <v>5</v>
      </c>
      <c r="E441" s="684">
        <v>4</v>
      </c>
      <c r="F441" t="s">
        <v>17</v>
      </c>
      <c r="G441" s="684">
        <v>1.0789</v>
      </c>
      <c r="H441" s="684">
        <v>96.62</v>
      </c>
      <c r="I441" t="s">
        <v>700</v>
      </c>
    </row>
    <row r="442" spans="1:9">
      <c r="A442" s="177">
        <v>44743</v>
      </c>
      <c r="B442" t="s">
        <v>598</v>
      </c>
      <c r="C442" t="s">
        <v>575</v>
      </c>
      <c r="D442" s="684">
        <v>5</v>
      </c>
      <c r="E442" s="684">
        <v>4</v>
      </c>
      <c r="F442" t="s">
        <v>18</v>
      </c>
      <c r="G442" s="684">
        <v>1</v>
      </c>
      <c r="H442" s="684">
        <v>89.55</v>
      </c>
      <c r="I442" t="s">
        <v>700</v>
      </c>
    </row>
    <row r="443" spans="1:9">
      <c r="A443" s="177">
        <v>44743</v>
      </c>
      <c r="B443" t="s">
        <v>598</v>
      </c>
      <c r="C443" t="s">
        <v>575</v>
      </c>
      <c r="D443" s="684">
        <v>5</v>
      </c>
      <c r="E443" s="684">
        <v>4</v>
      </c>
      <c r="F443" t="s">
        <v>19</v>
      </c>
      <c r="G443" s="684">
        <v>1</v>
      </c>
      <c r="H443" s="684">
        <v>89.55</v>
      </c>
      <c r="I443" t="s">
        <v>700</v>
      </c>
    </row>
    <row r="444" spans="1:9">
      <c r="A444" s="177">
        <v>44743</v>
      </c>
      <c r="B444" t="s">
        <v>598</v>
      </c>
      <c r="C444" t="s">
        <v>575</v>
      </c>
      <c r="D444" s="684">
        <v>5</v>
      </c>
      <c r="E444" s="684">
        <v>4</v>
      </c>
      <c r="F444" t="s">
        <v>20</v>
      </c>
      <c r="G444" s="684">
        <v>1.0629</v>
      </c>
      <c r="H444" s="684">
        <v>95.18</v>
      </c>
      <c r="I444" t="s">
        <v>700</v>
      </c>
    </row>
    <row r="445" spans="1:9">
      <c r="A445" s="177">
        <v>44743</v>
      </c>
      <c r="B445" t="s">
        <v>598</v>
      </c>
      <c r="C445" t="s">
        <v>575</v>
      </c>
      <c r="D445" s="684">
        <v>5</v>
      </c>
      <c r="E445" s="684">
        <v>4</v>
      </c>
      <c r="F445" t="s">
        <v>21</v>
      </c>
      <c r="G445" s="684">
        <v>1</v>
      </c>
      <c r="H445" s="684">
        <v>89.55</v>
      </c>
      <c r="I445" t="s">
        <v>700</v>
      </c>
    </row>
    <row r="446" spans="1:9">
      <c r="A446" s="177">
        <v>44743</v>
      </c>
      <c r="B446" t="s">
        <v>599</v>
      </c>
      <c r="C446" t="s">
        <v>575</v>
      </c>
      <c r="D446" s="684">
        <v>5</v>
      </c>
      <c r="E446" s="684">
        <v>5</v>
      </c>
      <c r="F446" t="s">
        <v>16</v>
      </c>
      <c r="G446" s="684">
        <v>1</v>
      </c>
      <c r="H446" s="684">
        <v>95.09</v>
      </c>
      <c r="I446" t="s">
        <v>700</v>
      </c>
    </row>
    <row r="447" spans="1:9">
      <c r="A447" s="177">
        <v>44743</v>
      </c>
      <c r="B447" t="s">
        <v>599</v>
      </c>
      <c r="C447" t="s">
        <v>575</v>
      </c>
      <c r="D447" s="684">
        <v>5</v>
      </c>
      <c r="E447" s="684">
        <v>5</v>
      </c>
      <c r="F447" t="s">
        <v>17</v>
      </c>
      <c r="G447" s="684">
        <v>1.0789</v>
      </c>
      <c r="H447" s="684">
        <v>102.59</v>
      </c>
      <c r="I447" t="s">
        <v>700</v>
      </c>
    </row>
    <row r="448" spans="1:9">
      <c r="A448" s="177">
        <v>44743</v>
      </c>
      <c r="B448" t="s">
        <v>599</v>
      </c>
      <c r="C448" t="s">
        <v>575</v>
      </c>
      <c r="D448" s="684">
        <v>5</v>
      </c>
      <c r="E448" s="684">
        <v>5</v>
      </c>
      <c r="F448" t="s">
        <v>18</v>
      </c>
      <c r="G448" s="684">
        <v>1</v>
      </c>
      <c r="H448" s="684">
        <v>95.09</v>
      </c>
      <c r="I448" t="s">
        <v>700</v>
      </c>
    </row>
    <row r="449" spans="1:9">
      <c r="A449" s="177">
        <v>44743</v>
      </c>
      <c r="B449" t="s">
        <v>599</v>
      </c>
      <c r="C449" t="s">
        <v>575</v>
      </c>
      <c r="D449" s="684">
        <v>5</v>
      </c>
      <c r="E449" s="684">
        <v>5</v>
      </c>
      <c r="F449" t="s">
        <v>19</v>
      </c>
      <c r="G449" s="684">
        <v>1</v>
      </c>
      <c r="H449" s="684">
        <v>95.09</v>
      </c>
      <c r="I449" t="s">
        <v>700</v>
      </c>
    </row>
    <row r="450" spans="1:9">
      <c r="A450" s="177">
        <v>44743</v>
      </c>
      <c r="B450" t="s">
        <v>599</v>
      </c>
      <c r="C450" t="s">
        <v>575</v>
      </c>
      <c r="D450" s="684">
        <v>5</v>
      </c>
      <c r="E450" s="684">
        <v>5</v>
      </c>
      <c r="F450" t="s">
        <v>20</v>
      </c>
      <c r="G450" s="684">
        <v>1.0629</v>
      </c>
      <c r="H450" s="684">
        <v>101.07</v>
      </c>
      <c r="I450" t="s">
        <v>700</v>
      </c>
    </row>
    <row r="451" spans="1:9">
      <c r="A451" s="177">
        <v>44743</v>
      </c>
      <c r="B451" t="s">
        <v>599</v>
      </c>
      <c r="C451" t="s">
        <v>575</v>
      </c>
      <c r="D451" s="684">
        <v>5</v>
      </c>
      <c r="E451" s="684">
        <v>5</v>
      </c>
      <c r="F451" t="s">
        <v>21</v>
      </c>
      <c r="G451" s="684">
        <v>1</v>
      </c>
      <c r="H451" s="684">
        <v>95.09</v>
      </c>
      <c r="I451" t="s">
        <v>700</v>
      </c>
    </row>
    <row r="452" spans="1:9">
      <c r="A452" s="177">
        <v>45108</v>
      </c>
      <c r="B452" t="s">
        <v>524</v>
      </c>
      <c r="C452" t="s">
        <v>15</v>
      </c>
      <c r="D452" s="684">
        <v>1</v>
      </c>
      <c r="E452" s="684">
        <v>1</v>
      </c>
      <c r="F452" t="s">
        <v>16</v>
      </c>
      <c r="G452" s="684">
        <v>1</v>
      </c>
      <c r="H452" s="684">
        <f>28.8</f>
        <v>28.8</v>
      </c>
      <c r="I452" t="s">
        <v>699</v>
      </c>
    </row>
    <row r="453" spans="1:9">
      <c r="A453" s="177">
        <v>45108</v>
      </c>
      <c r="B453" t="s">
        <v>524</v>
      </c>
      <c r="C453" t="s">
        <v>15</v>
      </c>
      <c r="D453" s="684">
        <v>1</v>
      </c>
      <c r="E453" s="684">
        <v>1</v>
      </c>
      <c r="F453" t="s">
        <v>17</v>
      </c>
      <c r="G453" s="684">
        <v>1.0789</v>
      </c>
      <c r="H453" s="684">
        <v>31.07</v>
      </c>
      <c r="I453" t="s">
        <v>699</v>
      </c>
    </row>
    <row r="454" spans="1:9">
      <c r="A454" s="177">
        <v>45108</v>
      </c>
      <c r="B454" t="s">
        <v>524</v>
      </c>
      <c r="C454" t="s">
        <v>15</v>
      </c>
      <c r="D454" s="684">
        <v>1</v>
      </c>
      <c r="E454" s="684">
        <v>1</v>
      </c>
      <c r="F454" t="s">
        <v>18</v>
      </c>
      <c r="G454" s="684">
        <v>1</v>
      </c>
      <c r="H454" s="684">
        <v>28.8</v>
      </c>
      <c r="I454" t="s">
        <v>699</v>
      </c>
    </row>
    <row r="455" spans="1:9">
      <c r="A455" s="177">
        <v>45108</v>
      </c>
      <c r="B455" t="s">
        <v>524</v>
      </c>
      <c r="C455" t="s">
        <v>15</v>
      </c>
      <c r="D455" s="684">
        <v>1</v>
      </c>
      <c r="E455" s="684">
        <v>1</v>
      </c>
      <c r="F455" t="s">
        <v>19</v>
      </c>
      <c r="G455" s="684">
        <v>1</v>
      </c>
      <c r="H455" s="684">
        <v>28.8</v>
      </c>
      <c r="I455" t="s">
        <v>699</v>
      </c>
    </row>
    <row r="456" spans="1:9">
      <c r="A456" s="177">
        <v>45108</v>
      </c>
      <c r="B456" t="s">
        <v>524</v>
      </c>
      <c r="C456" t="s">
        <v>15</v>
      </c>
      <c r="D456" s="684">
        <v>1</v>
      </c>
      <c r="E456" s="684">
        <v>1</v>
      </c>
      <c r="F456" t="s">
        <v>20</v>
      </c>
      <c r="G456" s="684">
        <v>1.0629</v>
      </c>
      <c r="H456" s="684">
        <v>30.61</v>
      </c>
      <c r="I456" t="s">
        <v>699</v>
      </c>
    </row>
    <row r="457" spans="1:9">
      <c r="A457" s="177">
        <v>45108</v>
      </c>
      <c r="B457" t="s">
        <v>524</v>
      </c>
      <c r="C457" t="s">
        <v>15</v>
      </c>
      <c r="D457" s="684">
        <v>1</v>
      </c>
      <c r="E457" s="684">
        <v>1</v>
      </c>
      <c r="F457" t="s">
        <v>21</v>
      </c>
      <c r="G457" s="684">
        <v>1</v>
      </c>
      <c r="H457" s="684">
        <v>28.8</v>
      </c>
      <c r="I457" t="s">
        <v>699</v>
      </c>
    </row>
    <row r="458" spans="1:9">
      <c r="A458" s="177">
        <v>45108</v>
      </c>
      <c r="B458" t="s">
        <v>525</v>
      </c>
      <c r="C458" t="s">
        <v>15</v>
      </c>
      <c r="D458" s="684">
        <v>1</v>
      </c>
      <c r="E458" s="684">
        <v>2</v>
      </c>
      <c r="F458" t="s">
        <v>16</v>
      </c>
      <c r="G458" s="684">
        <v>1</v>
      </c>
      <c r="H458" s="684">
        <v>31.78</v>
      </c>
      <c r="I458" t="s">
        <v>699</v>
      </c>
    </row>
    <row r="459" spans="1:9">
      <c r="A459" s="177">
        <v>45108</v>
      </c>
      <c r="B459" t="s">
        <v>525</v>
      </c>
      <c r="C459" t="s">
        <v>15</v>
      </c>
      <c r="D459" s="684">
        <v>1</v>
      </c>
      <c r="E459" s="684">
        <v>2</v>
      </c>
      <c r="F459" t="s">
        <v>17</v>
      </c>
      <c r="G459" s="684">
        <v>1.0789</v>
      </c>
      <c r="H459" s="684">
        <v>34.29</v>
      </c>
      <c r="I459" t="s">
        <v>699</v>
      </c>
    </row>
    <row r="460" spans="1:9">
      <c r="A460" s="177">
        <v>45108</v>
      </c>
      <c r="B460" t="s">
        <v>525</v>
      </c>
      <c r="C460" t="s">
        <v>15</v>
      </c>
      <c r="D460" s="684">
        <v>1</v>
      </c>
      <c r="E460" s="684">
        <v>2</v>
      </c>
      <c r="F460" t="s">
        <v>18</v>
      </c>
      <c r="G460" s="684">
        <v>1</v>
      </c>
      <c r="H460" s="684">
        <v>31.78</v>
      </c>
      <c r="I460" t="s">
        <v>699</v>
      </c>
    </row>
    <row r="461" spans="1:9">
      <c r="A461" s="177">
        <v>45108</v>
      </c>
      <c r="B461" t="s">
        <v>525</v>
      </c>
      <c r="C461" t="s">
        <v>15</v>
      </c>
      <c r="D461" s="684">
        <v>1</v>
      </c>
      <c r="E461" s="684">
        <v>2</v>
      </c>
      <c r="F461" t="s">
        <v>19</v>
      </c>
      <c r="G461" s="684">
        <v>1</v>
      </c>
      <c r="H461" s="684">
        <v>31.78</v>
      </c>
      <c r="I461" t="s">
        <v>699</v>
      </c>
    </row>
    <row r="462" spans="1:9">
      <c r="A462" s="177">
        <v>45108</v>
      </c>
      <c r="B462" t="s">
        <v>525</v>
      </c>
      <c r="C462" t="s">
        <v>15</v>
      </c>
      <c r="D462" s="684">
        <v>1</v>
      </c>
      <c r="E462" s="684">
        <v>2</v>
      </c>
      <c r="F462" t="s">
        <v>20</v>
      </c>
      <c r="G462" s="684">
        <v>1.0629</v>
      </c>
      <c r="H462" s="684">
        <v>33.78</v>
      </c>
      <c r="I462" t="s">
        <v>699</v>
      </c>
    </row>
    <row r="463" spans="1:9">
      <c r="A463" s="177">
        <v>45108</v>
      </c>
      <c r="B463" t="s">
        <v>525</v>
      </c>
      <c r="C463" t="s">
        <v>15</v>
      </c>
      <c r="D463" s="684">
        <v>1</v>
      </c>
      <c r="E463" s="684">
        <v>2</v>
      </c>
      <c r="F463" t="s">
        <v>21</v>
      </c>
      <c r="G463" s="684">
        <v>1</v>
      </c>
      <c r="H463" s="684">
        <v>31.78</v>
      </c>
      <c r="I463" t="s">
        <v>699</v>
      </c>
    </row>
    <row r="464" spans="1:9">
      <c r="A464" s="177">
        <v>45108</v>
      </c>
      <c r="B464" t="s">
        <v>526</v>
      </c>
      <c r="C464" t="s">
        <v>15</v>
      </c>
      <c r="D464" s="684">
        <v>1</v>
      </c>
      <c r="E464" s="684">
        <v>3</v>
      </c>
      <c r="F464" t="s">
        <v>16</v>
      </c>
      <c r="G464" s="684">
        <v>1</v>
      </c>
      <c r="H464" s="684">
        <v>36.64</v>
      </c>
      <c r="I464" t="s">
        <v>699</v>
      </c>
    </row>
    <row r="465" spans="1:9">
      <c r="A465" s="177">
        <v>45108</v>
      </c>
      <c r="B465" t="s">
        <v>526</v>
      </c>
      <c r="C465" t="s">
        <v>15</v>
      </c>
      <c r="D465" s="684">
        <v>1</v>
      </c>
      <c r="E465" s="684">
        <v>3</v>
      </c>
      <c r="F465" t="s">
        <v>17</v>
      </c>
      <c r="G465" s="684">
        <v>1.0789</v>
      </c>
      <c r="H465" s="684">
        <v>39.53</v>
      </c>
      <c r="I465" t="s">
        <v>699</v>
      </c>
    </row>
    <row r="466" spans="1:9">
      <c r="A466" s="177">
        <v>45108</v>
      </c>
      <c r="B466" t="s">
        <v>526</v>
      </c>
      <c r="C466" t="s">
        <v>15</v>
      </c>
      <c r="D466" s="684">
        <v>1</v>
      </c>
      <c r="E466" s="684">
        <v>3</v>
      </c>
      <c r="F466" t="s">
        <v>18</v>
      </c>
      <c r="G466" s="684">
        <v>1</v>
      </c>
      <c r="H466" s="684">
        <v>36.64</v>
      </c>
      <c r="I466" t="s">
        <v>699</v>
      </c>
    </row>
    <row r="467" spans="1:9">
      <c r="A467" s="177">
        <v>45108</v>
      </c>
      <c r="B467" t="s">
        <v>526</v>
      </c>
      <c r="C467" t="s">
        <v>15</v>
      </c>
      <c r="D467" s="684">
        <v>1</v>
      </c>
      <c r="E467" s="684">
        <v>3</v>
      </c>
      <c r="F467" t="s">
        <v>19</v>
      </c>
      <c r="G467" s="684">
        <v>1</v>
      </c>
      <c r="H467" s="684">
        <v>36.64</v>
      </c>
      <c r="I467" t="s">
        <v>699</v>
      </c>
    </row>
    <row r="468" spans="1:9">
      <c r="A468" s="177">
        <v>45108</v>
      </c>
      <c r="B468" t="s">
        <v>526</v>
      </c>
      <c r="C468" t="s">
        <v>15</v>
      </c>
      <c r="D468" s="684">
        <v>1</v>
      </c>
      <c r="E468" s="684">
        <v>3</v>
      </c>
      <c r="F468" t="s">
        <v>20</v>
      </c>
      <c r="G468" s="684">
        <v>1.0629</v>
      </c>
      <c r="H468" s="684">
        <v>38.94</v>
      </c>
      <c r="I468" t="s">
        <v>699</v>
      </c>
    </row>
    <row r="469" spans="1:9">
      <c r="A469" s="177">
        <v>45108</v>
      </c>
      <c r="B469" t="s">
        <v>526</v>
      </c>
      <c r="C469" t="s">
        <v>15</v>
      </c>
      <c r="D469" s="684">
        <v>1</v>
      </c>
      <c r="E469" s="684">
        <v>3</v>
      </c>
      <c r="F469" t="s">
        <v>21</v>
      </c>
      <c r="G469" s="684">
        <v>1</v>
      </c>
      <c r="H469" s="684">
        <v>36.64</v>
      </c>
      <c r="I469" t="s">
        <v>699</v>
      </c>
    </row>
    <row r="470" spans="1:9">
      <c r="A470" s="177">
        <v>45108</v>
      </c>
      <c r="B470" t="s">
        <v>527</v>
      </c>
      <c r="C470" t="s">
        <v>15</v>
      </c>
      <c r="D470" s="684">
        <v>1</v>
      </c>
      <c r="E470" s="684">
        <v>4</v>
      </c>
      <c r="F470" t="s">
        <v>16</v>
      </c>
      <c r="G470" s="684">
        <v>1</v>
      </c>
      <c r="H470" s="684">
        <v>43.22</v>
      </c>
      <c r="I470" t="s">
        <v>699</v>
      </c>
    </row>
    <row r="471" spans="1:9">
      <c r="A471" s="177">
        <v>45108</v>
      </c>
      <c r="B471" t="s">
        <v>527</v>
      </c>
      <c r="C471" t="s">
        <v>15</v>
      </c>
      <c r="D471" s="684">
        <v>1</v>
      </c>
      <c r="E471" s="684">
        <v>4</v>
      </c>
      <c r="F471" t="s">
        <v>17</v>
      </c>
      <c r="G471" s="684">
        <v>1.0789</v>
      </c>
      <c r="H471" s="684">
        <v>46.63</v>
      </c>
      <c r="I471" t="s">
        <v>699</v>
      </c>
    </row>
    <row r="472" spans="1:9">
      <c r="A472" s="177">
        <v>45108</v>
      </c>
      <c r="B472" t="s">
        <v>527</v>
      </c>
      <c r="C472" t="s">
        <v>15</v>
      </c>
      <c r="D472" s="684">
        <v>1</v>
      </c>
      <c r="E472" s="684">
        <v>4</v>
      </c>
      <c r="F472" t="s">
        <v>18</v>
      </c>
      <c r="G472" s="684">
        <v>1</v>
      </c>
      <c r="H472" s="684">
        <v>43.22</v>
      </c>
      <c r="I472" t="s">
        <v>699</v>
      </c>
    </row>
    <row r="473" spans="1:9">
      <c r="A473" s="177">
        <v>45108</v>
      </c>
      <c r="B473" t="s">
        <v>527</v>
      </c>
      <c r="C473" t="s">
        <v>15</v>
      </c>
      <c r="D473" s="684">
        <v>1</v>
      </c>
      <c r="E473" s="684">
        <v>4</v>
      </c>
      <c r="F473" t="s">
        <v>19</v>
      </c>
      <c r="G473" s="684">
        <v>1</v>
      </c>
      <c r="H473" s="684">
        <v>43.22</v>
      </c>
      <c r="I473" t="s">
        <v>699</v>
      </c>
    </row>
    <row r="474" spans="1:9">
      <c r="A474" s="177">
        <v>45108</v>
      </c>
      <c r="B474" t="s">
        <v>527</v>
      </c>
      <c r="C474" t="s">
        <v>15</v>
      </c>
      <c r="D474" s="684">
        <v>1</v>
      </c>
      <c r="E474" s="684">
        <v>4</v>
      </c>
      <c r="F474" t="s">
        <v>20</v>
      </c>
      <c r="G474" s="684">
        <v>1.0629</v>
      </c>
      <c r="H474" s="684">
        <v>45.94</v>
      </c>
      <c r="I474" t="s">
        <v>699</v>
      </c>
    </row>
    <row r="475" spans="1:9">
      <c r="A475" s="177">
        <v>45108</v>
      </c>
      <c r="B475" t="s">
        <v>527</v>
      </c>
      <c r="C475" t="s">
        <v>15</v>
      </c>
      <c r="D475" s="684">
        <v>1</v>
      </c>
      <c r="E475" s="684">
        <v>4</v>
      </c>
      <c r="F475" t="s">
        <v>21</v>
      </c>
      <c r="G475" s="684">
        <v>1</v>
      </c>
      <c r="H475" s="684">
        <v>43.22</v>
      </c>
      <c r="I475" t="s">
        <v>699</v>
      </c>
    </row>
    <row r="476" spans="1:9">
      <c r="A476" s="177">
        <v>45108</v>
      </c>
      <c r="B476" t="s">
        <v>528</v>
      </c>
      <c r="C476" t="s">
        <v>15</v>
      </c>
      <c r="D476" s="684">
        <v>1</v>
      </c>
      <c r="E476" s="684">
        <v>5</v>
      </c>
      <c r="F476" t="s">
        <v>16</v>
      </c>
      <c r="G476" s="684">
        <v>1</v>
      </c>
      <c r="H476" s="684">
        <v>48.98</v>
      </c>
      <c r="I476" t="s">
        <v>699</v>
      </c>
    </row>
    <row r="477" spans="1:9">
      <c r="A477" s="177">
        <v>45108</v>
      </c>
      <c r="B477" t="s">
        <v>528</v>
      </c>
      <c r="C477" t="s">
        <v>15</v>
      </c>
      <c r="D477" s="684">
        <v>1</v>
      </c>
      <c r="E477" s="684">
        <v>5</v>
      </c>
      <c r="F477" t="s">
        <v>17</v>
      </c>
      <c r="G477" s="684">
        <v>1.0789</v>
      </c>
      <c r="H477" s="684">
        <v>52.84</v>
      </c>
      <c r="I477" t="s">
        <v>699</v>
      </c>
    </row>
    <row r="478" spans="1:9">
      <c r="A478" s="177">
        <v>45108</v>
      </c>
      <c r="B478" t="s">
        <v>528</v>
      </c>
      <c r="C478" t="s">
        <v>15</v>
      </c>
      <c r="D478" s="684">
        <v>1</v>
      </c>
      <c r="E478" s="684">
        <v>5</v>
      </c>
      <c r="F478" t="s">
        <v>18</v>
      </c>
      <c r="G478" s="684">
        <v>1</v>
      </c>
      <c r="H478" s="684">
        <v>48.98</v>
      </c>
      <c r="I478" t="s">
        <v>699</v>
      </c>
    </row>
    <row r="479" spans="1:9">
      <c r="A479" s="177">
        <v>45108</v>
      </c>
      <c r="B479" t="s">
        <v>528</v>
      </c>
      <c r="C479" t="s">
        <v>15</v>
      </c>
      <c r="D479" s="684">
        <v>1</v>
      </c>
      <c r="E479" s="684">
        <v>5</v>
      </c>
      <c r="F479" t="s">
        <v>19</v>
      </c>
      <c r="G479" s="684">
        <v>1</v>
      </c>
      <c r="H479" s="684">
        <v>48.98</v>
      </c>
      <c r="I479" t="s">
        <v>699</v>
      </c>
    </row>
    <row r="480" spans="1:9">
      <c r="A480" s="177">
        <v>45108</v>
      </c>
      <c r="B480" t="s">
        <v>528</v>
      </c>
      <c r="C480" t="s">
        <v>15</v>
      </c>
      <c r="D480" s="684">
        <v>1</v>
      </c>
      <c r="E480" s="684">
        <v>5</v>
      </c>
      <c r="F480" t="s">
        <v>20</v>
      </c>
      <c r="G480" s="684">
        <v>1.0629</v>
      </c>
      <c r="H480" s="684">
        <v>52.06</v>
      </c>
      <c r="I480" t="s">
        <v>699</v>
      </c>
    </row>
    <row r="481" spans="1:9">
      <c r="A481" s="177">
        <v>45108</v>
      </c>
      <c r="B481" t="s">
        <v>528</v>
      </c>
      <c r="C481" t="s">
        <v>15</v>
      </c>
      <c r="D481" s="684">
        <v>1</v>
      </c>
      <c r="E481" s="684">
        <v>5</v>
      </c>
      <c r="F481" t="s">
        <v>21</v>
      </c>
      <c r="G481" s="684">
        <v>1</v>
      </c>
      <c r="H481" s="684">
        <v>48.98</v>
      </c>
      <c r="I481" t="s">
        <v>699</v>
      </c>
    </row>
    <row r="482" spans="1:9">
      <c r="A482" s="177">
        <v>45108</v>
      </c>
      <c r="B482" t="s">
        <v>529</v>
      </c>
      <c r="C482" t="s">
        <v>15</v>
      </c>
      <c r="D482" s="684">
        <v>2</v>
      </c>
      <c r="E482" s="684">
        <v>1</v>
      </c>
      <c r="F482" t="s">
        <v>16</v>
      </c>
      <c r="G482" s="684">
        <v>1</v>
      </c>
      <c r="H482" s="684">
        <v>34.409999999999997</v>
      </c>
      <c r="I482" t="s">
        <v>699</v>
      </c>
    </row>
    <row r="483" spans="1:9">
      <c r="A483" s="177">
        <v>45108</v>
      </c>
      <c r="B483" t="s">
        <v>529</v>
      </c>
      <c r="C483" t="s">
        <v>15</v>
      </c>
      <c r="D483" s="684">
        <v>2</v>
      </c>
      <c r="E483" s="684">
        <v>1</v>
      </c>
      <c r="F483" t="s">
        <v>17</v>
      </c>
      <c r="G483" s="684">
        <v>1.0789</v>
      </c>
      <c r="H483" s="684">
        <v>37.119999999999997</v>
      </c>
      <c r="I483" t="s">
        <v>699</v>
      </c>
    </row>
    <row r="484" spans="1:9">
      <c r="A484" s="177">
        <v>45108</v>
      </c>
      <c r="B484" t="s">
        <v>529</v>
      </c>
      <c r="C484" t="s">
        <v>15</v>
      </c>
      <c r="D484" s="684">
        <v>2</v>
      </c>
      <c r="E484" s="684">
        <v>1</v>
      </c>
      <c r="F484" t="s">
        <v>18</v>
      </c>
      <c r="G484" s="684">
        <v>1</v>
      </c>
      <c r="H484" s="684">
        <v>34.409999999999997</v>
      </c>
      <c r="I484" t="s">
        <v>699</v>
      </c>
    </row>
    <row r="485" spans="1:9">
      <c r="A485" s="177">
        <v>45108</v>
      </c>
      <c r="B485" t="s">
        <v>529</v>
      </c>
      <c r="C485" t="s">
        <v>15</v>
      </c>
      <c r="D485" s="684">
        <v>2</v>
      </c>
      <c r="E485" s="684">
        <v>1</v>
      </c>
      <c r="F485" t="s">
        <v>19</v>
      </c>
      <c r="G485" s="684">
        <v>1</v>
      </c>
      <c r="H485" s="684">
        <v>34.409999999999997</v>
      </c>
      <c r="I485" t="s">
        <v>699</v>
      </c>
    </row>
    <row r="486" spans="1:9">
      <c r="A486" s="177">
        <v>45108</v>
      </c>
      <c r="B486" t="s">
        <v>529</v>
      </c>
      <c r="C486" t="s">
        <v>15</v>
      </c>
      <c r="D486" s="684">
        <v>2</v>
      </c>
      <c r="E486" s="684">
        <v>1</v>
      </c>
      <c r="F486" t="s">
        <v>20</v>
      </c>
      <c r="G486" s="684">
        <v>1.0629</v>
      </c>
      <c r="H486" s="684">
        <v>36.57</v>
      </c>
      <c r="I486" t="s">
        <v>699</v>
      </c>
    </row>
    <row r="487" spans="1:9">
      <c r="A487" s="177">
        <v>45108</v>
      </c>
      <c r="B487" t="s">
        <v>529</v>
      </c>
      <c r="C487" t="s">
        <v>15</v>
      </c>
      <c r="D487" s="684">
        <v>2</v>
      </c>
      <c r="E487" s="684">
        <v>1</v>
      </c>
      <c r="F487" t="s">
        <v>21</v>
      </c>
      <c r="G487" s="684">
        <v>1</v>
      </c>
      <c r="H487" s="684">
        <v>34.409999999999997</v>
      </c>
      <c r="I487" t="s">
        <v>699</v>
      </c>
    </row>
    <row r="488" spans="1:9">
      <c r="A488" s="177">
        <v>45108</v>
      </c>
      <c r="B488" t="s">
        <v>530</v>
      </c>
      <c r="C488" t="s">
        <v>15</v>
      </c>
      <c r="D488" s="684">
        <v>2</v>
      </c>
      <c r="E488" s="684">
        <v>2</v>
      </c>
      <c r="F488" t="s">
        <v>16</v>
      </c>
      <c r="G488" s="684">
        <v>1</v>
      </c>
      <c r="H488" s="684">
        <v>37.39</v>
      </c>
      <c r="I488" t="s">
        <v>699</v>
      </c>
    </row>
    <row r="489" spans="1:9">
      <c r="A489" s="177">
        <v>45108</v>
      </c>
      <c r="B489" t="s">
        <v>530</v>
      </c>
      <c r="C489" t="s">
        <v>15</v>
      </c>
      <c r="D489" s="684">
        <v>2</v>
      </c>
      <c r="E489" s="684">
        <v>2</v>
      </c>
      <c r="F489" t="s">
        <v>17</v>
      </c>
      <c r="G489" s="684">
        <v>1.0789</v>
      </c>
      <c r="H489" s="684">
        <v>40.340000000000003</v>
      </c>
      <c r="I489" t="s">
        <v>699</v>
      </c>
    </row>
    <row r="490" spans="1:9">
      <c r="A490" s="177">
        <v>45108</v>
      </c>
      <c r="B490" t="s">
        <v>530</v>
      </c>
      <c r="C490" t="s">
        <v>15</v>
      </c>
      <c r="D490" s="684">
        <v>2</v>
      </c>
      <c r="E490" s="684">
        <v>2</v>
      </c>
      <c r="F490" t="s">
        <v>18</v>
      </c>
      <c r="G490" s="684">
        <v>1</v>
      </c>
      <c r="H490" s="684">
        <v>37.39</v>
      </c>
      <c r="I490" t="s">
        <v>699</v>
      </c>
    </row>
    <row r="491" spans="1:9">
      <c r="A491" s="177">
        <v>45108</v>
      </c>
      <c r="B491" t="s">
        <v>530</v>
      </c>
      <c r="C491" t="s">
        <v>15</v>
      </c>
      <c r="D491" s="684">
        <v>2</v>
      </c>
      <c r="E491" s="684">
        <v>2</v>
      </c>
      <c r="F491" t="s">
        <v>19</v>
      </c>
      <c r="G491" s="684">
        <v>1</v>
      </c>
      <c r="H491" s="684">
        <v>37.39</v>
      </c>
      <c r="I491" t="s">
        <v>699</v>
      </c>
    </row>
    <row r="492" spans="1:9">
      <c r="A492" s="177">
        <v>45108</v>
      </c>
      <c r="B492" t="s">
        <v>530</v>
      </c>
      <c r="C492" t="s">
        <v>15</v>
      </c>
      <c r="D492" s="684">
        <v>2</v>
      </c>
      <c r="E492" s="684">
        <v>2</v>
      </c>
      <c r="F492" t="s">
        <v>20</v>
      </c>
      <c r="G492" s="684">
        <v>1.0629</v>
      </c>
      <c r="H492" s="684">
        <v>39.74</v>
      </c>
      <c r="I492" t="s">
        <v>699</v>
      </c>
    </row>
    <row r="493" spans="1:9">
      <c r="A493" s="177">
        <v>45108</v>
      </c>
      <c r="B493" t="s">
        <v>530</v>
      </c>
      <c r="C493" t="s">
        <v>15</v>
      </c>
      <c r="D493" s="684">
        <v>2</v>
      </c>
      <c r="E493" s="684">
        <v>2</v>
      </c>
      <c r="F493" t="s">
        <v>21</v>
      </c>
      <c r="G493" s="684">
        <v>1</v>
      </c>
      <c r="H493" s="684">
        <v>37.39</v>
      </c>
      <c r="I493" t="s">
        <v>699</v>
      </c>
    </row>
    <row r="494" spans="1:9">
      <c r="A494" s="177">
        <v>45108</v>
      </c>
      <c r="B494" t="s">
        <v>531</v>
      </c>
      <c r="C494" t="s">
        <v>15</v>
      </c>
      <c r="D494" s="684">
        <v>2</v>
      </c>
      <c r="E494" s="684">
        <v>3</v>
      </c>
      <c r="F494" t="s">
        <v>16</v>
      </c>
      <c r="G494" s="684">
        <v>1</v>
      </c>
      <c r="H494" s="684">
        <v>42.28</v>
      </c>
      <c r="I494" t="s">
        <v>699</v>
      </c>
    </row>
    <row r="495" spans="1:9">
      <c r="A495" s="177">
        <v>45108</v>
      </c>
      <c r="B495" t="s">
        <v>531</v>
      </c>
      <c r="C495" t="s">
        <v>15</v>
      </c>
      <c r="D495" s="684">
        <v>2</v>
      </c>
      <c r="E495" s="684">
        <v>3</v>
      </c>
      <c r="F495" t="s">
        <v>17</v>
      </c>
      <c r="G495" s="684">
        <v>1.0789</v>
      </c>
      <c r="H495" s="684">
        <v>45.62</v>
      </c>
      <c r="I495" t="s">
        <v>699</v>
      </c>
    </row>
    <row r="496" spans="1:9">
      <c r="A496" s="177">
        <v>45108</v>
      </c>
      <c r="B496" t="s">
        <v>531</v>
      </c>
      <c r="C496" t="s">
        <v>15</v>
      </c>
      <c r="D496" s="684">
        <v>2</v>
      </c>
      <c r="E496" s="684">
        <v>3</v>
      </c>
      <c r="F496" t="s">
        <v>18</v>
      </c>
      <c r="G496" s="684">
        <v>1</v>
      </c>
      <c r="H496" s="684">
        <v>42.28</v>
      </c>
      <c r="I496" t="s">
        <v>699</v>
      </c>
    </row>
    <row r="497" spans="1:9">
      <c r="A497" s="177">
        <v>45108</v>
      </c>
      <c r="B497" t="s">
        <v>531</v>
      </c>
      <c r="C497" t="s">
        <v>15</v>
      </c>
      <c r="D497" s="684">
        <v>2</v>
      </c>
      <c r="E497" s="684">
        <v>3</v>
      </c>
      <c r="F497" t="s">
        <v>19</v>
      </c>
      <c r="G497" s="684">
        <v>1</v>
      </c>
      <c r="H497" s="684">
        <v>42.28</v>
      </c>
      <c r="I497" t="s">
        <v>699</v>
      </c>
    </row>
    <row r="498" spans="1:9">
      <c r="A498" s="177">
        <v>45108</v>
      </c>
      <c r="B498" t="s">
        <v>531</v>
      </c>
      <c r="C498" t="s">
        <v>15</v>
      </c>
      <c r="D498" s="684">
        <v>2</v>
      </c>
      <c r="E498" s="684">
        <v>3</v>
      </c>
      <c r="F498" t="s">
        <v>20</v>
      </c>
      <c r="G498" s="684">
        <v>1.0629</v>
      </c>
      <c r="H498" s="684">
        <v>44.94</v>
      </c>
      <c r="I498" t="s">
        <v>699</v>
      </c>
    </row>
    <row r="499" spans="1:9">
      <c r="A499" s="177">
        <v>45108</v>
      </c>
      <c r="B499" t="s">
        <v>531</v>
      </c>
      <c r="C499" t="s">
        <v>15</v>
      </c>
      <c r="D499" s="684">
        <v>2</v>
      </c>
      <c r="E499" s="684">
        <v>3</v>
      </c>
      <c r="F499" t="s">
        <v>21</v>
      </c>
      <c r="G499" s="684">
        <v>1</v>
      </c>
      <c r="H499" s="684">
        <v>42.28</v>
      </c>
      <c r="I499" t="s">
        <v>699</v>
      </c>
    </row>
    <row r="500" spans="1:9">
      <c r="A500" s="177">
        <v>45108</v>
      </c>
      <c r="B500" t="s">
        <v>532</v>
      </c>
      <c r="C500" t="s">
        <v>15</v>
      </c>
      <c r="D500" s="684">
        <v>2</v>
      </c>
      <c r="E500" s="684">
        <v>4</v>
      </c>
      <c r="F500" t="s">
        <v>16</v>
      </c>
      <c r="G500" s="684">
        <v>1</v>
      </c>
      <c r="H500" s="684">
        <v>48.78</v>
      </c>
      <c r="I500" t="s">
        <v>699</v>
      </c>
    </row>
    <row r="501" spans="1:9">
      <c r="A501" s="177">
        <v>45108</v>
      </c>
      <c r="B501" t="s">
        <v>532</v>
      </c>
      <c r="C501" t="s">
        <v>15</v>
      </c>
      <c r="D501" s="684">
        <v>2</v>
      </c>
      <c r="E501" s="684">
        <v>4</v>
      </c>
      <c r="F501" t="s">
        <v>17</v>
      </c>
      <c r="G501" s="684">
        <v>1.0789</v>
      </c>
      <c r="H501" s="684">
        <v>52.63</v>
      </c>
      <c r="I501" t="s">
        <v>699</v>
      </c>
    </row>
    <row r="502" spans="1:9">
      <c r="A502" s="177">
        <v>45108</v>
      </c>
      <c r="B502" t="s">
        <v>532</v>
      </c>
      <c r="C502" t="s">
        <v>15</v>
      </c>
      <c r="D502" s="684">
        <v>2</v>
      </c>
      <c r="E502" s="684">
        <v>4</v>
      </c>
      <c r="F502" t="s">
        <v>18</v>
      </c>
      <c r="G502" s="684">
        <v>1</v>
      </c>
      <c r="H502" s="684">
        <v>48.78</v>
      </c>
      <c r="I502" t="s">
        <v>699</v>
      </c>
    </row>
    <row r="503" spans="1:9">
      <c r="A503" s="177">
        <v>45108</v>
      </c>
      <c r="B503" t="s">
        <v>532</v>
      </c>
      <c r="C503" t="s">
        <v>15</v>
      </c>
      <c r="D503" s="684">
        <v>2</v>
      </c>
      <c r="E503" s="684">
        <v>4</v>
      </c>
      <c r="F503" t="s">
        <v>19</v>
      </c>
      <c r="G503" s="684">
        <v>1</v>
      </c>
      <c r="H503" s="684">
        <v>48.78</v>
      </c>
      <c r="I503" t="s">
        <v>699</v>
      </c>
    </row>
    <row r="504" spans="1:9">
      <c r="A504" s="177">
        <v>45108</v>
      </c>
      <c r="B504" t="s">
        <v>532</v>
      </c>
      <c r="C504" t="s">
        <v>15</v>
      </c>
      <c r="D504" s="684">
        <v>2</v>
      </c>
      <c r="E504" s="684">
        <v>4</v>
      </c>
      <c r="F504" t="s">
        <v>20</v>
      </c>
      <c r="G504" s="684">
        <v>1.0629</v>
      </c>
      <c r="H504" s="684">
        <v>51.85</v>
      </c>
      <c r="I504" t="s">
        <v>699</v>
      </c>
    </row>
    <row r="505" spans="1:9">
      <c r="A505" s="177">
        <v>45108</v>
      </c>
      <c r="B505" t="s">
        <v>532</v>
      </c>
      <c r="C505" t="s">
        <v>15</v>
      </c>
      <c r="D505" s="684">
        <v>2</v>
      </c>
      <c r="E505" s="684">
        <v>4</v>
      </c>
      <c r="F505" t="s">
        <v>21</v>
      </c>
      <c r="G505" s="684">
        <v>1</v>
      </c>
      <c r="H505" s="684">
        <v>48.78</v>
      </c>
      <c r="I505" t="s">
        <v>699</v>
      </c>
    </row>
    <row r="506" spans="1:9">
      <c r="A506" s="177">
        <v>45108</v>
      </c>
      <c r="B506" t="s">
        <v>533</v>
      </c>
      <c r="C506" t="s">
        <v>15</v>
      </c>
      <c r="D506" s="684">
        <v>2</v>
      </c>
      <c r="E506" s="684">
        <v>5</v>
      </c>
      <c r="F506" t="s">
        <v>16</v>
      </c>
      <c r="G506" s="684">
        <v>1</v>
      </c>
      <c r="H506" s="684">
        <v>54.56</v>
      </c>
      <c r="I506" t="s">
        <v>699</v>
      </c>
    </row>
    <row r="507" spans="1:9">
      <c r="A507" s="177">
        <v>45108</v>
      </c>
      <c r="B507" t="s">
        <v>533</v>
      </c>
      <c r="C507" t="s">
        <v>15</v>
      </c>
      <c r="D507" s="684">
        <v>2</v>
      </c>
      <c r="E507" s="684">
        <v>5</v>
      </c>
      <c r="F507" t="s">
        <v>17</v>
      </c>
      <c r="G507" s="684">
        <v>1.0789</v>
      </c>
      <c r="H507" s="684">
        <v>58.86</v>
      </c>
      <c r="I507" t="s">
        <v>699</v>
      </c>
    </row>
    <row r="508" spans="1:9">
      <c r="A508" s="177">
        <v>45108</v>
      </c>
      <c r="B508" t="s">
        <v>533</v>
      </c>
      <c r="C508" t="s">
        <v>15</v>
      </c>
      <c r="D508" s="684">
        <v>2</v>
      </c>
      <c r="E508" s="684">
        <v>5</v>
      </c>
      <c r="F508" t="s">
        <v>18</v>
      </c>
      <c r="G508" s="684">
        <v>1</v>
      </c>
      <c r="H508" s="684">
        <v>54.56</v>
      </c>
      <c r="I508" t="s">
        <v>699</v>
      </c>
    </row>
    <row r="509" spans="1:9">
      <c r="A509" s="177">
        <v>45108</v>
      </c>
      <c r="B509" t="s">
        <v>533</v>
      </c>
      <c r="C509" t="s">
        <v>15</v>
      </c>
      <c r="D509" s="684">
        <v>2</v>
      </c>
      <c r="E509" s="684">
        <v>5</v>
      </c>
      <c r="F509" t="s">
        <v>19</v>
      </c>
      <c r="G509" s="684">
        <v>1</v>
      </c>
      <c r="H509" s="684">
        <v>54.56</v>
      </c>
      <c r="I509" t="s">
        <v>699</v>
      </c>
    </row>
    <row r="510" spans="1:9">
      <c r="A510" s="177">
        <v>45108</v>
      </c>
      <c r="B510" t="s">
        <v>533</v>
      </c>
      <c r="C510" t="s">
        <v>15</v>
      </c>
      <c r="D510" s="684">
        <v>2</v>
      </c>
      <c r="E510" s="684">
        <v>5</v>
      </c>
      <c r="F510" t="s">
        <v>20</v>
      </c>
      <c r="G510" s="684">
        <v>1.0629</v>
      </c>
      <c r="H510" s="684">
        <v>57.99</v>
      </c>
      <c r="I510" t="s">
        <v>699</v>
      </c>
    </row>
    <row r="511" spans="1:9">
      <c r="A511" s="177">
        <v>45108</v>
      </c>
      <c r="B511" t="s">
        <v>533</v>
      </c>
      <c r="C511" t="s">
        <v>15</v>
      </c>
      <c r="D511" s="684">
        <v>2</v>
      </c>
      <c r="E511" s="684">
        <v>5</v>
      </c>
      <c r="F511" t="s">
        <v>21</v>
      </c>
      <c r="G511" s="684">
        <v>1</v>
      </c>
      <c r="H511" s="684">
        <v>54.56</v>
      </c>
      <c r="I511" t="s">
        <v>699</v>
      </c>
    </row>
    <row r="512" spans="1:9">
      <c r="A512" s="177">
        <v>45108</v>
      </c>
      <c r="B512" t="s">
        <v>534</v>
      </c>
      <c r="C512" t="s">
        <v>15</v>
      </c>
      <c r="D512" s="684">
        <v>3</v>
      </c>
      <c r="E512" s="684">
        <v>1</v>
      </c>
      <c r="F512" t="s">
        <v>16</v>
      </c>
      <c r="G512" s="684">
        <v>1</v>
      </c>
      <c r="H512" s="684">
        <v>45.32</v>
      </c>
      <c r="I512" t="s">
        <v>699</v>
      </c>
    </row>
    <row r="513" spans="1:9">
      <c r="A513" s="177">
        <v>45108</v>
      </c>
      <c r="B513" t="s">
        <v>534</v>
      </c>
      <c r="C513" t="s">
        <v>15</v>
      </c>
      <c r="D513" s="684">
        <v>3</v>
      </c>
      <c r="E513" s="684">
        <v>1</v>
      </c>
      <c r="F513" t="s">
        <v>17</v>
      </c>
      <c r="G513" s="684">
        <v>1.0789</v>
      </c>
      <c r="H513" s="684">
        <v>48.9</v>
      </c>
      <c r="I513" t="s">
        <v>699</v>
      </c>
    </row>
    <row r="514" spans="1:9">
      <c r="A514" s="177">
        <v>45108</v>
      </c>
      <c r="B514" t="s">
        <v>534</v>
      </c>
      <c r="C514" t="s">
        <v>15</v>
      </c>
      <c r="D514" s="684">
        <v>3</v>
      </c>
      <c r="E514" s="684">
        <v>1</v>
      </c>
      <c r="F514" t="s">
        <v>18</v>
      </c>
      <c r="G514" s="684">
        <v>1</v>
      </c>
      <c r="H514" s="684">
        <v>45.32</v>
      </c>
      <c r="I514" t="s">
        <v>699</v>
      </c>
    </row>
    <row r="515" spans="1:9">
      <c r="A515" s="177">
        <v>45108</v>
      </c>
      <c r="B515" t="s">
        <v>534</v>
      </c>
      <c r="C515" t="s">
        <v>15</v>
      </c>
      <c r="D515" s="684">
        <v>3</v>
      </c>
      <c r="E515" s="684">
        <v>1</v>
      </c>
      <c r="F515" t="s">
        <v>19</v>
      </c>
      <c r="G515" s="684">
        <v>1</v>
      </c>
      <c r="H515" s="684">
        <v>45.32</v>
      </c>
      <c r="I515" t="s">
        <v>699</v>
      </c>
    </row>
    <row r="516" spans="1:9">
      <c r="A516" s="177">
        <v>45108</v>
      </c>
      <c r="B516" t="s">
        <v>534</v>
      </c>
      <c r="C516" t="s">
        <v>15</v>
      </c>
      <c r="D516" s="684">
        <v>3</v>
      </c>
      <c r="E516" s="684">
        <v>1</v>
      </c>
      <c r="F516" t="s">
        <v>20</v>
      </c>
      <c r="G516" s="684">
        <v>1.0629</v>
      </c>
      <c r="H516" s="684">
        <v>48.17</v>
      </c>
      <c r="I516" t="s">
        <v>699</v>
      </c>
    </row>
    <row r="517" spans="1:9">
      <c r="A517" s="177">
        <v>45108</v>
      </c>
      <c r="B517" t="s">
        <v>534</v>
      </c>
      <c r="C517" t="s">
        <v>15</v>
      </c>
      <c r="D517" s="684">
        <v>3</v>
      </c>
      <c r="E517" s="684">
        <v>1</v>
      </c>
      <c r="F517" t="s">
        <v>21</v>
      </c>
      <c r="G517" s="684">
        <v>1</v>
      </c>
      <c r="H517" s="684">
        <v>45.32</v>
      </c>
      <c r="I517" t="s">
        <v>699</v>
      </c>
    </row>
    <row r="518" spans="1:9">
      <c r="A518" s="177">
        <v>45108</v>
      </c>
      <c r="B518" t="s">
        <v>535</v>
      </c>
      <c r="C518" t="s">
        <v>15</v>
      </c>
      <c r="D518" s="684">
        <v>3</v>
      </c>
      <c r="E518" s="684">
        <v>2</v>
      </c>
      <c r="F518" t="s">
        <v>16</v>
      </c>
      <c r="G518" s="684">
        <v>1</v>
      </c>
      <c r="H518" s="684">
        <v>48.34</v>
      </c>
      <c r="I518" t="s">
        <v>699</v>
      </c>
    </row>
    <row r="519" spans="1:9">
      <c r="A519" s="177">
        <v>45108</v>
      </c>
      <c r="B519" t="s">
        <v>535</v>
      </c>
      <c r="C519" t="s">
        <v>15</v>
      </c>
      <c r="D519" s="684">
        <v>3</v>
      </c>
      <c r="E519" s="684">
        <v>2</v>
      </c>
      <c r="F519" t="s">
        <v>17</v>
      </c>
      <c r="G519" s="684">
        <v>1.0789</v>
      </c>
      <c r="H519" s="684">
        <v>52.15</v>
      </c>
      <c r="I519" t="s">
        <v>699</v>
      </c>
    </row>
    <row r="520" spans="1:9">
      <c r="A520" s="177">
        <v>45108</v>
      </c>
      <c r="B520" t="s">
        <v>535</v>
      </c>
      <c r="C520" t="s">
        <v>15</v>
      </c>
      <c r="D520" s="684">
        <v>3</v>
      </c>
      <c r="E520" s="684">
        <v>2</v>
      </c>
      <c r="F520" t="s">
        <v>18</v>
      </c>
      <c r="G520" s="684">
        <v>1</v>
      </c>
      <c r="H520" s="684">
        <v>48.34</v>
      </c>
      <c r="I520" t="s">
        <v>699</v>
      </c>
    </row>
    <row r="521" spans="1:9">
      <c r="A521" s="177">
        <v>45108</v>
      </c>
      <c r="B521" t="s">
        <v>535</v>
      </c>
      <c r="C521" t="s">
        <v>15</v>
      </c>
      <c r="D521" s="684">
        <v>3</v>
      </c>
      <c r="E521" s="684">
        <v>2</v>
      </c>
      <c r="F521" t="s">
        <v>19</v>
      </c>
      <c r="G521" s="684">
        <v>1</v>
      </c>
      <c r="H521" s="684">
        <v>48.34</v>
      </c>
      <c r="I521" t="s">
        <v>699</v>
      </c>
    </row>
    <row r="522" spans="1:9">
      <c r="A522" s="177">
        <v>45108</v>
      </c>
      <c r="B522" t="s">
        <v>535</v>
      </c>
      <c r="C522" t="s">
        <v>15</v>
      </c>
      <c r="D522" s="684">
        <v>3</v>
      </c>
      <c r="E522" s="684">
        <v>2</v>
      </c>
      <c r="F522" t="s">
        <v>20</v>
      </c>
      <c r="G522" s="684">
        <v>1.0629</v>
      </c>
      <c r="H522" s="684">
        <v>51.38</v>
      </c>
      <c r="I522" t="s">
        <v>699</v>
      </c>
    </row>
    <row r="523" spans="1:9">
      <c r="A523" s="177">
        <v>45108</v>
      </c>
      <c r="B523" t="s">
        <v>535</v>
      </c>
      <c r="C523" t="s">
        <v>15</v>
      </c>
      <c r="D523" s="684">
        <v>3</v>
      </c>
      <c r="E523" s="684">
        <v>2</v>
      </c>
      <c r="F523" t="s">
        <v>21</v>
      </c>
      <c r="G523" s="684">
        <v>1</v>
      </c>
      <c r="H523" s="684">
        <v>48.34</v>
      </c>
      <c r="I523" t="s">
        <v>699</v>
      </c>
    </row>
    <row r="524" spans="1:9">
      <c r="A524" s="177">
        <v>45108</v>
      </c>
      <c r="B524" t="s">
        <v>536</v>
      </c>
      <c r="C524" t="s">
        <v>15</v>
      </c>
      <c r="D524" s="684">
        <v>3</v>
      </c>
      <c r="E524" s="684">
        <v>3</v>
      </c>
      <c r="F524" t="s">
        <v>16</v>
      </c>
      <c r="G524" s="684">
        <v>1</v>
      </c>
      <c r="H524" s="684">
        <v>53.2</v>
      </c>
      <c r="I524" t="s">
        <v>699</v>
      </c>
    </row>
    <row r="525" spans="1:9">
      <c r="A525" s="177">
        <v>45108</v>
      </c>
      <c r="B525" t="s">
        <v>536</v>
      </c>
      <c r="C525" t="s">
        <v>15</v>
      </c>
      <c r="D525" s="684">
        <v>3</v>
      </c>
      <c r="E525" s="684">
        <v>3</v>
      </c>
      <c r="F525" t="s">
        <v>17</v>
      </c>
      <c r="G525" s="684">
        <v>1.0789</v>
      </c>
      <c r="H525" s="684">
        <v>57.4</v>
      </c>
      <c r="I525" t="s">
        <v>699</v>
      </c>
    </row>
    <row r="526" spans="1:9">
      <c r="A526" s="177">
        <v>45108</v>
      </c>
      <c r="B526" t="s">
        <v>536</v>
      </c>
      <c r="C526" t="s">
        <v>15</v>
      </c>
      <c r="D526" s="684">
        <v>3</v>
      </c>
      <c r="E526" s="684">
        <v>3</v>
      </c>
      <c r="F526" t="s">
        <v>18</v>
      </c>
      <c r="G526" s="684">
        <v>1</v>
      </c>
      <c r="H526" s="684">
        <v>53.2</v>
      </c>
      <c r="I526" t="s">
        <v>699</v>
      </c>
    </row>
    <row r="527" spans="1:9">
      <c r="A527" s="177">
        <v>45108</v>
      </c>
      <c r="B527" t="s">
        <v>536</v>
      </c>
      <c r="C527" t="s">
        <v>15</v>
      </c>
      <c r="D527" s="684">
        <v>3</v>
      </c>
      <c r="E527" s="684">
        <v>3</v>
      </c>
      <c r="F527" t="s">
        <v>19</v>
      </c>
      <c r="G527" s="684">
        <v>1</v>
      </c>
      <c r="H527" s="684">
        <v>53.2</v>
      </c>
      <c r="I527" t="s">
        <v>699</v>
      </c>
    </row>
    <row r="528" spans="1:9">
      <c r="A528" s="177">
        <v>45108</v>
      </c>
      <c r="B528" t="s">
        <v>536</v>
      </c>
      <c r="C528" t="s">
        <v>15</v>
      </c>
      <c r="D528" s="684">
        <v>3</v>
      </c>
      <c r="E528" s="684">
        <v>3</v>
      </c>
      <c r="F528" t="s">
        <v>20</v>
      </c>
      <c r="G528" s="684">
        <v>1.0629</v>
      </c>
      <c r="H528" s="684">
        <v>56.55</v>
      </c>
      <c r="I528" t="s">
        <v>699</v>
      </c>
    </row>
    <row r="529" spans="1:9">
      <c r="A529" s="177">
        <v>45108</v>
      </c>
      <c r="B529" t="s">
        <v>536</v>
      </c>
      <c r="C529" t="s">
        <v>15</v>
      </c>
      <c r="D529" s="684">
        <v>3</v>
      </c>
      <c r="E529" s="684">
        <v>3</v>
      </c>
      <c r="F529" t="s">
        <v>21</v>
      </c>
      <c r="G529" s="684">
        <v>1</v>
      </c>
      <c r="H529" s="684">
        <v>53.2</v>
      </c>
      <c r="I529" t="s">
        <v>699</v>
      </c>
    </row>
    <row r="530" spans="1:9">
      <c r="A530" s="177">
        <v>45108</v>
      </c>
      <c r="B530" t="s">
        <v>537</v>
      </c>
      <c r="C530" t="s">
        <v>15</v>
      </c>
      <c r="D530" s="684">
        <v>3</v>
      </c>
      <c r="E530" s="684">
        <v>4</v>
      </c>
      <c r="F530" t="s">
        <v>16</v>
      </c>
      <c r="G530" s="684">
        <v>1</v>
      </c>
      <c r="H530" s="684">
        <v>59.72</v>
      </c>
      <c r="I530" t="s">
        <v>699</v>
      </c>
    </row>
    <row r="531" spans="1:9">
      <c r="A531" s="177">
        <v>45108</v>
      </c>
      <c r="B531" t="s">
        <v>537</v>
      </c>
      <c r="C531" t="s">
        <v>15</v>
      </c>
      <c r="D531" s="684">
        <v>3</v>
      </c>
      <c r="E531" s="684">
        <v>4</v>
      </c>
      <c r="F531" t="s">
        <v>17</v>
      </c>
      <c r="G531" s="684">
        <v>1.0789</v>
      </c>
      <c r="H531" s="684">
        <v>64.430000000000007</v>
      </c>
      <c r="I531" t="s">
        <v>699</v>
      </c>
    </row>
    <row r="532" spans="1:9">
      <c r="A532" s="177">
        <v>45108</v>
      </c>
      <c r="B532" t="s">
        <v>537</v>
      </c>
      <c r="C532" t="s">
        <v>15</v>
      </c>
      <c r="D532" s="684">
        <v>3</v>
      </c>
      <c r="E532" s="684">
        <v>4</v>
      </c>
      <c r="F532" t="s">
        <v>18</v>
      </c>
      <c r="G532" s="684">
        <v>1</v>
      </c>
      <c r="H532" s="684">
        <v>59.72</v>
      </c>
      <c r="I532" t="s">
        <v>699</v>
      </c>
    </row>
    <row r="533" spans="1:9">
      <c r="A533" s="177">
        <v>45108</v>
      </c>
      <c r="B533" t="s">
        <v>537</v>
      </c>
      <c r="C533" t="s">
        <v>15</v>
      </c>
      <c r="D533" s="684">
        <v>3</v>
      </c>
      <c r="E533" s="684">
        <v>4</v>
      </c>
      <c r="F533" t="s">
        <v>19</v>
      </c>
      <c r="G533" s="684">
        <v>1</v>
      </c>
      <c r="H533" s="684">
        <v>59.72</v>
      </c>
      <c r="I533" t="s">
        <v>699</v>
      </c>
    </row>
    <row r="534" spans="1:9">
      <c r="A534" s="177">
        <v>45108</v>
      </c>
      <c r="B534" t="s">
        <v>537</v>
      </c>
      <c r="C534" t="s">
        <v>15</v>
      </c>
      <c r="D534" s="684">
        <v>3</v>
      </c>
      <c r="E534" s="684">
        <v>4</v>
      </c>
      <c r="F534" t="s">
        <v>20</v>
      </c>
      <c r="G534" s="684">
        <v>1.0629</v>
      </c>
      <c r="H534" s="684">
        <v>63.48</v>
      </c>
      <c r="I534" t="s">
        <v>699</v>
      </c>
    </row>
    <row r="535" spans="1:9">
      <c r="A535" s="177">
        <v>45108</v>
      </c>
      <c r="B535" t="s">
        <v>537</v>
      </c>
      <c r="C535" t="s">
        <v>15</v>
      </c>
      <c r="D535" s="684">
        <v>3</v>
      </c>
      <c r="E535" s="684">
        <v>4</v>
      </c>
      <c r="F535" t="s">
        <v>21</v>
      </c>
      <c r="G535" s="684">
        <v>1</v>
      </c>
      <c r="H535" s="684">
        <v>59.72</v>
      </c>
      <c r="I535" t="s">
        <v>699</v>
      </c>
    </row>
    <row r="536" spans="1:9">
      <c r="A536" s="177">
        <v>45108</v>
      </c>
      <c r="B536" t="s">
        <v>538</v>
      </c>
      <c r="C536" t="s">
        <v>15</v>
      </c>
      <c r="D536" s="684">
        <v>3</v>
      </c>
      <c r="E536" s="684">
        <v>5</v>
      </c>
      <c r="F536" t="s">
        <v>16</v>
      </c>
      <c r="G536" s="684">
        <v>1</v>
      </c>
      <c r="H536" s="684">
        <v>65.489999999999995</v>
      </c>
      <c r="I536" t="s">
        <v>699</v>
      </c>
    </row>
    <row r="537" spans="1:9">
      <c r="A537" s="177">
        <v>45108</v>
      </c>
      <c r="B537" t="s">
        <v>538</v>
      </c>
      <c r="C537" t="s">
        <v>15</v>
      </c>
      <c r="D537" s="684">
        <v>3</v>
      </c>
      <c r="E537" s="684">
        <v>5</v>
      </c>
      <c r="F537" t="s">
        <v>17</v>
      </c>
      <c r="G537" s="684">
        <v>1.0789</v>
      </c>
      <c r="H537" s="684">
        <v>70.66</v>
      </c>
      <c r="I537" t="s">
        <v>699</v>
      </c>
    </row>
    <row r="538" spans="1:9">
      <c r="A538" s="177">
        <v>45108</v>
      </c>
      <c r="B538" t="s">
        <v>538</v>
      </c>
      <c r="C538" t="s">
        <v>15</v>
      </c>
      <c r="D538" s="684">
        <v>3</v>
      </c>
      <c r="E538" s="684">
        <v>5</v>
      </c>
      <c r="F538" t="s">
        <v>18</v>
      </c>
      <c r="G538" s="684">
        <v>1</v>
      </c>
      <c r="H538" s="684">
        <v>65.489999999999995</v>
      </c>
      <c r="I538" t="s">
        <v>699</v>
      </c>
    </row>
    <row r="539" spans="1:9">
      <c r="A539" s="177">
        <v>45108</v>
      </c>
      <c r="B539" t="s">
        <v>538</v>
      </c>
      <c r="C539" t="s">
        <v>15</v>
      </c>
      <c r="D539" s="684">
        <v>3</v>
      </c>
      <c r="E539" s="684">
        <v>5</v>
      </c>
      <c r="F539" t="s">
        <v>19</v>
      </c>
      <c r="G539" s="684">
        <v>1</v>
      </c>
      <c r="H539" s="684">
        <v>65.489999999999995</v>
      </c>
      <c r="I539" t="s">
        <v>699</v>
      </c>
    </row>
    <row r="540" spans="1:9">
      <c r="A540" s="177">
        <v>45108</v>
      </c>
      <c r="B540" t="s">
        <v>538</v>
      </c>
      <c r="C540" t="s">
        <v>15</v>
      </c>
      <c r="D540" s="684">
        <v>3</v>
      </c>
      <c r="E540" s="684">
        <v>5</v>
      </c>
      <c r="F540" t="s">
        <v>20</v>
      </c>
      <c r="G540" s="684">
        <v>1.0629</v>
      </c>
      <c r="H540" s="684">
        <v>69.61</v>
      </c>
      <c r="I540" t="s">
        <v>699</v>
      </c>
    </row>
    <row r="541" spans="1:9">
      <c r="A541" s="177">
        <v>45108</v>
      </c>
      <c r="B541" t="s">
        <v>538</v>
      </c>
      <c r="C541" t="s">
        <v>15</v>
      </c>
      <c r="D541" s="684">
        <v>3</v>
      </c>
      <c r="E541" s="684">
        <v>5</v>
      </c>
      <c r="F541" t="s">
        <v>21</v>
      </c>
      <c r="G541" s="684">
        <v>1</v>
      </c>
      <c r="H541" s="684">
        <v>65.489999999999995</v>
      </c>
      <c r="I541" t="s">
        <v>699</v>
      </c>
    </row>
    <row r="542" spans="1:9">
      <c r="A542" s="177">
        <v>45108</v>
      </c>
      <c r="B542" t="s">
        <v>539</v>
      </c>
      <c r="C542" t="s">
        <v>15</v>
      </c>
      <c r="D542" s="684">
        <v>4</v>
      </c>
      <c r="E542" s="684">
        <v>1</v>
      </c>
      <c r="F542" t="s">
        <v>16</v>
      </c>
      <c r="G542" s="684">
        <v>1</v>
      </c>
      <c r="H542" s="684">
        <v>56.54</v>
      </c>
      <c r="I542" t="s">
        <v>699</v>
      </c>
    </row>
    <row r="543" spans="1:9">
      <c r="A543" s="177">
        <v>45108</v>
      </c>
      <c r="B543" t="s">
        <v>539</v>
      </c>
      <c r="C543" t="s">
        <v>15</v>
      </c>
      <c r="D543" s="684">
        <v>4</v>
      </c>
      <c r="E543" s="684">
        <v>1</v>
      </c>
      <c r="F543" t="s">
        <v>17</v>
      </c>
      <c r="G543" s="684">
        <v>1.0789</v>
      </c>
      <c r="H543" s="684">
        <v>61</v>
      </c>
      <c r="I543" t="s">
        <v>699</v>
      </c>
    </row>
    <row r="544" spans="1:9">
      <c r="A544" s="177">
        <v>45108</v>
      </c>
      <c r="B544" t="s">
        <v>539</v>
      </c>
      <c r="C544" t="s">
        <v>15</v>
      </c>
      <c r="D544" s="684">
        <v>4</v>
      </c>
      <c r="E544" s="684">
        <v>1</v>
      </c>
      <c r="F544" t="s">
        <v>18</v>
      </c>
      <c r="G544" s="684">
        <v>1</v>
      </c>
      <c r="H544" s="684">
        <v>56.54</v>
      </c>
      <c r="I544" t="s">
        <v>699</v>
      </c>
    </row>
    <row r="545" spans="1:9">
      <c r="A545" s="177">
        <v>45108</v>
      </c>
      <c r="B545" t="s">
        <v>539</v>
      </c>
      <c r="C545" t="s">
        <v>15</v>
      </c>
      <c r="D545" s="684">
        <v>4</v>
      </c>
      <c r="E545" s="684">
        <v>1</v>
      </c>
      <c r="F545" t="s">
        <v>19</v>
      </c>
      <c r="G545" s="684">
        <v>1</v>
      </c>
      <c r="H545" s="684">
        <v>56.54</v>
      </c>
      <c r="I545" t="s">
        <v>699</v>
      </c>
    </row>
    <row r="546" spans="1:9">
      <c r="A546" s="177">
        <v>45108</v>
      </c>
      <c r="B546" t="s">
        <v>539</v>
      </c>
      <c r="C546" t="s">
        <v>15</v>
      </c>
      <c r="D546" s="684">
        <v>4</v>
      </c>
      <c r="E546" s="684">
        <v>1</v>
      </c>
      <c r="F546" t="s">
        <v>20</v>
      </c>
      <c r="G546" s="684">
        <v>1.0629</v>
      </c>
      <c r="H546" s="684">
        <v>60.1</v>
      </c>
      <c r="I546" t="s">
        <v>699</v>
      </c>
    </row>
    <row r="547" spans="1:9">
      <c r="A547" s="177">
        <v>45108</v>
      </c>
      <c r="B547" t="s">
        <v>539</v>
      </c>
      <c r="C547" t="s">
        <v>15</v>
      </c>
      <c r="D547" s="684">
        <v>4</v>
      </c>
      <c r="E547" s="684">
        <v>1</v>
      </c>
      <c r="F547" t="s">
        <v>21</v>
      </c>
      <c r="G547" s="684">
        <v>1</v>
      </c>
      <c r="H547" s="684">
        <v>56.54</v>
      </c>
      <c r="I547" t="s">
        <v>699</v>
      </c>
    </row>
    <row r="548" spans="1:9">
      <c r="A548" s="177">
        <v>45108</v>
      </c>
      <c r="B548" t="s">
        <v>540</v>
      </c>
      <c r="C548" t="s">
        <v>15</v>
      </c>
      <c r="D548" s="684">
        <v>4</v>
      </c>
      <c r="E548" s="684">
        <v>2</v>
      </c>
      <c r="F548" t="s">
        <v>16</v>
      </c>
      <c r="G548" s="684">
        <v>1</v>
      </c>
      <c r="H548" s="684">
        <v>59.56</v>
      </c>
      <c r="I548" t="s">
        <v>699</v>
      </c>
    </row>
    <row r="549" spans="1:9">
      <c r="A549" s="177">
        <v>45108</v>
      </c>
      <c r="B549" t="s">
        <v>540</v>
      </c>
      <c r="C549" t="s">
        <v>15</v>
      </c>
      <c r="D549" s="684">
        <v>4</v>
      </c>
      <c r="E549" s="684">
        <v>2</v>
      </c>
      <c r="F549" t="s">
        <v>17</v>
      </c>
      <c r="G549" s="684">
        <v>1.0789</v>
      </c>
      <c r="H549" s="684">
        <v>64.260000000000005</v>
      </c>
      <c r="I549" t="s">
        <v>699</v>
      </c>
    </row>
    <row r="550" spans="1:9">
      <c r="A550" s="177">
        <v>45108</v>
      </c>
      <c r="B550" t="s">
        <v>540</v>
      </c>
      <c r="C550" t="s">
        <v>15</v>
      </c>
      <c r="D550" s="684">
        <v>4</v>
      </c>
      <c r="E550" s="684">
        <v>2</v>
      </c>
      <c r="F550" t="s">
        <v>18</v>
      </c>
      <c r="G550" s="684">
        <v>1</v>
      </c>
      <c r="H550" s="684">
        <v>59.56</v>
      </c>
      <c r="I550" t="s">
        <v>699</v>
      </c>
    </row>
    <row r="551" spans="1:9">
      <c r="A551" s="177">
        <v>45108</v>
      </c>
      <c r="B551" t="s">
        <v>540</v>
      </c>
      <c r="C551" t="s">
        <v>15</v>
      </c>
      <c r="D551" s="684">
        <v>4</v>
      </c>
      <c r="E551" s="684">
        <v>2</v>
      </c>
      <c r="F551" t="s">
        <v>19</v>
      </c>
      <c r="G551" s="684">
        <v>1</v>
      </c>
      <c r="H551" s="684">
        <v>59.56</v>
      </c>
      <c r="I551" t="s">
        <v>699</v>
      </c>
    </row>
    <row r="552" spans="1:9">
      <c r="A552" s="177">
        <v>45108</v>
      </c>
      <c r="B552" t="s">
        <v>540</v>
      </c>
      <c r="C552" t="s">
        <v>15</v>
      </c>
      <c r="D552" s="684">
        <v>4</v>
      </c>
      <c r="E552" s="684">
        <v>2</v>
      </c>
      <c r="F552" t="s">
        <v>20</v>
      </c>
      <c r="G552" s="684">
        <v>1.0629</v>
      </c>
      <c r="H552" s="684">
        <v>63.31</v>
      </c>
      <c r="I552" t="s">
        <v>699</v>
      </c>
    </row>
    <row r="553" spans="1:9">
      <c r="A553" s="177">
        <v>45108</v>
      </c>
      <c r="B553" t="s">
        <v>540</v>
      </c>
      <c r="C553" t="s">
        <v>15</v>
      </c>
      <c r="D553" s="684">
        <v>4</v>
      </c>
      <c r="E553" s="684">
        <v>2</v>
      </c>
      <c r="F553" t="s">
        <v>21</v>
      </c>
      <c r="G553" s="684">
        <v>1</v>
      </c>
      <c r="H553" s="684">
        <v>59.56</v>
      </c>
      <c r="I553" t="s">
        <v>699</v>
      </c>
    </row>
    <row r="554" spans="1:9">
      <c r="A554" s="177">
        <v>45108</v>
      </c>
      <c r="B554" t="s">
        <v>541</v>
      </c>
      <c r="C554" t="s">
        <v>15</v>
      </c>
      <c r="D554" s="684">
        <v>4</v>
      </c>
      <c r="E554" s="684">
        <v>3</v>
      </c>
      <c r="F554" t="s">
        <v>16</v>
      </c>
      <c r="G554" s="684">
        <v>1</v>
      </c>
      <c r="H554" s="684">
        <v>64.42</v>
      </c>
      <c r="I554" t="s">
        <v>699</v>
      </c>
    </row>
    <row r="555" spans="1:9">
      <c r="A555" s="177">
        <v>45108</v>
      </c>
      <c r="B555" t="s">
        <v>541</v>
      </c>
      <c r="C555" t="s">
        <v>15</v>
      </c>
      <c r="D555" s="684">
        <v>4</v>
      </c>
      <c r="E555" s="684">
        <v>3</v>
      </c>
      <c r="F555" t="s">
        <v>17</v>
      </c>
      <c r="G555" s="684">
        <v>1.0789</v>
      </c>
      <c r="H555" s="684">
        <v>69.5</v>
      </c>
      <c r="I555" t="s">
        <v>699</v>
      </c>
    </row>
    <row r="556" spans="1:9">
      <c r="A556" s="177">
        <v>45108</v>
      </c>
      <c r="B556" t="s">
        <v>541</v>
      </c>
      <c r="C556" t="s">
        <v>15</v>
      </c>
      <c r="D556" s="684">
        <v>4</v>
      </c>
      <c r="E556" s="684">
        <v>3</v>
      </c>
      <c r="F556" t="s">
        <v>18</v>
      </c>
      <c r="G556" s="684">
        <v>1</v>
      </c>
      <c r="H556" s="684">
        <v>64.42</v>
      </c>
      <c r="I556" t="s">
        <v>699</v>
      </c>
    </row>
    <row r="557" spans="1:9">
      <c r="A557" s="177">
        <v>45108</v>
      </c>
      <c r="B557" t="s">
        <v>541</v>
      </c>
      <c r="C557" t="s">
        <v>15</v>
      </c>
      <c r="D557" s="684">
        <v>4</v>
      </c>
      <c r="E557" s="684">
        <v>3</v>
      </c>
      <c r="F557" t="s">
        <v>19</v>
      </c>
      <c r="G557" s="684">
        <v>1</v>
      </c>
      <c r="H557" s="684">
        <v>64.42</v>
      </c>
      <c r="I557" t="s">
        <v>699</v>
      </c>
    </row>
    <row r="558" spans="1:9">
      <c r="A558" s="177">
        <v>45108</v>
      </c>
      <c r="B558" t="s">
        <v>541</v>
      </c>
      <c r="C558" t="s">
        <v>15</v>
      </c>
      <c r="D558" s="684">
        <v>4</v>
      </c>
      <c r="E558" s="684">
        <v>3</v>
      </c>
      <c r="F558" t="s">
        <v>20</v>
      </c>
      <c r="G558" s="684">
        <v>1.0629</v>
      </c>
      <c r="H558" s="684">
        <v>68.47</v>
      </c>
      <c r="I558" t="s">
        <v>699</v>
      </c>
    </row>
    <row r="559" spans="1:9">
      <c r="A559" s="177">
        <v>45108</v>
      </c>
      <c r="B559" t="s">
        <v>541</v>
      </c>
      <c r="C559" t="s">
        <v>15</v>
      </c>
      <c r="D559" s="684">
        <v>4</v>
      </c>
      <c r="E559" s="684">
        <v>3</v>
      </c>
      <c r="F559" t="s">
        <v>21</v>
      </c>
      <c r="G559" s="684">
        <v>1</v>
      </c>
      <c r="H559" s="684">
        <v>64.42</v>
      </c>
      <c r="I559" t="s">
        <v>699</v>
      </c>
    </row>
    <row r="560" spans="1:9">
      <c r="A560" s="177">
        <v>45108</v>
      </c>
      <c r="B560" t="s">
        <v>542</v>
      </c>
      <c r="C560" t="s">
        <v>15</v>
      </c>
      <c r="D560" s="684">
        <v>4</v>
      </c>
      <c r="E560" s="684">
        <v>4</v>
      </c>
      <c r="F560" t="s">
        <v>16</v>
      </c>
      <c r="G560" s="684">
        <v>1</v>
      </c>
      <c r="H560" s="684">
        <v>70.98</v>
      </c>
      <c r="I560" t="s">
        <v>699</v>
      </c>
    </row>
    <row r="561" spans="1:9">
      <c r="A561" s="177">
        <v>45108</v>
      </c>
      <c r="B561" t="s">
        <v>542</v>
      </c>
      <c r="C561" t="s">
        <v>15</v>
      </c>
      <c r="D561" s="684">
        <v>4</v>
      </c>
      <c r="E561" s="684">
        <v>4</v>
      </c>
      <c r="F561" t="s">
        <v>17</v>
      </c>
      <c r="G561" s="684">
        <v>1.0789</v>
      </c>
      <c r="H561" s="684">
        <v>76.58</v>
      </c>
      <c r="I561" t="s">
        <v>699</v>
      </c>
    </row>
    <row r="562" spans="1:9">
      <c r="A562" s="177">
        <v>45108</v>
      </c>
      <c r="B562" t="s">
        <v>542</v>
      </c>
      <c r="C562" t="s">
        <v>15</v>
      </c>
      <c r="D562" s="684">
        <v>4</v>
      </c>
      <c r="E562" s="684">
        <v>4</v>
      </c>
      <c r="F562" t="s">
        <v>18</v>
      </c>
      <c r="G562" s="684">
        <v>1</v>
      </c>
      <c r="H562" s="684">
        <v>70.98</v>
      </c>
      <c r="I562" t="s">
        <v>699</v>
      </c>
    </row>
    <row r="563" spans="1:9">
      <c r="A563" s="177">
        <v>45108</v>
      </c>
      <c r="B563" t="s">
        <v>542</v>
      </c>
      <c r="C563" t="s">
        <v>15</v>
      </c>
      <c r="D563" s="684">
        <v>4</v>
      </c>
      <c r="E563" s="684">
        <v>4</v>
      </c>
      <c r="F563" t="s">
        <v>19</v>
      </c>
      <c r="G563" s="684">
        <v>1</v>
      </c>
      <c r="H563" s="684">
        <v>70.98</v>
      </c>
      <c r="I563" t="s">
        <v>699</v>
      </c>
    </row>
    <row r="564" spans="1:9">
      <c r="A564" s="177">
        <v>45108</v>
      </c>
      <c r="B564" t="s">
        <v>542</v>
      </c>
      <c r="C564" t="s">
        <v>15</v>
      </c>
      <c r="D564" s="684">
        <v>4</v>
      </c>
      <c r="E564" s="684">
        <v>4</v>
      </c>
      <c r="F564" t="s">
        <v>20</v>
      </c>
      <c r="G564" s="684">
        <v>1.0629</v>
      </c>
      <c r="H564" s="684">
        <v>75.44</v>
      </c>
      <c r="I564" t="s">
        <v>699</v>
      </c>
    </row>
    <row r="565" spans="1:9">
      <c r="A565" s="177">
        <v>45108</v>
      </c>
      <c r="B565" t="s">
        <v>542</v>
      </c>
      <c r="C565" t="s">
        <v>15</v>
      </c>
      <c r="D565" s="684">
        <v>4</v>
      </c>
      <c r="E565" s="684">
        <v>4</v>
      </c>
      <c r="F565" t="s">
        <v>21</v>
      </c>
      <c r="G565" s="684">
        <v>1</v>
      </c>
      <c r="H565" s="684">
        <v>70.98</v>
      </c>
      <c r="I565" t="s">
        <v>699</v>
      </c>
    </row>
    <row r="566" spans="1:9">
      <c r="A566" s="177">
        <v>45108</v>
      </c>
      <c r="B566" t="s">
        <v>543</v>
      </c>
      <c r="C566" t="s">
        <v>15</v>
      </c>
      <c r="D566" s="684">
        <v>4</v>
      </c>
      <c r="E566" s="684">
        <v>5</v>
      </c>
      <c r="F566" t="s">
        <v>16</v>
      </c>
      <c r="G566" s="684">
        <v>1</v>
      </c>
      <c r="H566" s="684">
        <v>76.72</v>
      </c>
      <c r="I566" t="s">
        <v>699</v>
      </c>
    </row>
    <row r="567" spans="1:9">
      <c r="A567" s="177">
        <v>45108</v>
      </c>
      <c r="B567" t="s">
        <v>543</v>
      </c>
      <c r="C567" t="s">
        <v>15</v>
      </c>
      <c r="D567" s="684">
        <v>4</v>
      </c>
      <c r="E567" s="684">
        <v>5</v>
      </c>
      <c r="F567" t="s">
        <v>17</v>
      </c>
      <c r="G567" s="684">
        <v>1.0789</v>
      </c>
      <c r="H567" s="684">
        <v>82.77</v>
      </c>
      <c r="I567" t="s">
        <v>699</v>
      </c>
    </row>
    <row r="568" spans="1:9">
      <c r="A568" s="177">
        <v>45108</v>
      </c>
      <c r="B568" t="s">
        <v>543</v>
      </c>
      <c r="C568" t="s">
        <v>15</v>
      </c>
      <c r="D568" s="684">
        <v>4</v>
      </c>
      <c r="E568" s="684">
        <v>5</v>
      </c>
      <c r="F568" t="s">
        <v>18</v>
      </c>
      <c r="G568" s="684">
        <v>1</v>
      </c>
      <c r="H568" s="684">
        <v>76.72</v>
      </c>
      <c r="I568" t="s">
        <v>699</v>
      </c>
    </row>
    <row r="569" spans="1:9">
      <c r="A569" s="177">
        <v>45108</v>
      </c>
      <c r="B569" t="s">
        <v>543</v>
      </c>
      <c r="C569" t="s">
        <v>15</v>
      </c>
      <c r="D569" s="684">
        <v>4</v>
      </c>
      <c r="E569" s="684">
        <v>5</v>
      </c>
      <c r="F569" t="s">
        <v>19</v>
      </c>
      <c r="G569" s="684">
        <v>1</v>
      </c>
      <c r="H569" s="684">
        <v>76.72</v>
      </c>
      <c r="I569" t="s">
        <v>699</v>
      </c>
    </row>
    <row r="570" spans="1:9">
      <c r="A570" s="177">
        <v>45108</v>
      </c>
      <c r="B570" t="s">
        <v>543</v>
      </c>
      <c r="C570" t="s">
        <v>15</v>
      </c>
      <c r="D570" s="684">
        <v>4</v>
      </c>
      <c r="E570" s="684">
        <v>5</v>
      </c>
      <c r="F570" t="s">
        <v>20</v>
      </c>
      <c r="G570" s="684">
        <v>1.0629</v>
      </c>
      <c r="H570" s="684">
        <v>81.55</v>
      </c>
      <c r="I570" t="s">
        <v>699</v>
      </c>
    </row>
    <row r="571" spans="1:9">
      <c r="A571" s="177">
        <v>45108</v>
      </c>
      <c r="B571" t="s">
        <v>543</v>
      </c>
      <c r="C571" t="s">
        <v>15</v>
      </c>
      <c r="D571" s="684">
        <v>4</v>
      </c>
      <c r="E571" s="684">
        <v>5</v>
      </c>
      <c r="F571" t="s">
        <v>21</v>
      </c>
      <c r="G571" s="684">
        <v>1</v>
      </c>
      <c r="H571" s="684">
        <v>76.72</v>
      </c>
      <c r="I571" t="s">
        <v>699</v>
      </c>
    </row>
    <row r="572" spans="1:9">
      <c r="A572" s="177">
        <v>45108</v>
      </c>
      <c r="B572" t="s">
        <v>544</v>
      </c>
      <c r="C572" t="s">
        <v>15</v>
      </c>
      <c r="D572" s="684">
        <v>5</v>
      </c>
      <c r="E572" s="684">
        <v>1</v>
      </c>
      <c r="F572" t="s">
        <v>16</v>
      </c>
      <c r="G572" s="684">
        <v>1</v>
      </c>
      <c r="H572" s="684">
        <v>78.739999999999995</v>
      </c>
      <c r="I572" t="s">
        <v>699</v>
      </c>
    </row>
    <row r="573" spans="1:9">
      <c r="A573" s="177">
        <v>45108</v>
      </c>
      <c r="B573" t="s">
        <v>544</v>
      </c>
      <c r="C573" t="s">
        <v>15</v>
      </c>
      <c r="D573" s="684">
        <v>5</v>
      </c>
      <c r="E573" s="684">
        <v>1</v>
      </c>
      <c r="F573" t="s">
        <v>17</v>
      </c>
      <c r="G573" s="684">
        <v>1.0789</v>
      </c>
      <c r="H573" s="684">
        <v>84.95</v>
      </c>
      <c r="I573" t="s">
        <v>699</v>
      </c>
    </row>
    <row r="574" spans="1:9">
      <c r="A574" s="177">
        <v>45108</v>
      </c>
      <c r="B574" t="s">
        <v>544</v>
      </c>
      <c r="C574" t="s">
        <v>15</v>
      </c>
      <c r="D574" s="684">
        <v>5</v>
      </c>
      <c r="E574" s="684">
        <v>1</v>
      </c>
      <c r="F574" t="s">
        <v>18</v>
      </c>
      <c r="G574" s="684">
        <v>1</v>
      </c>
      <c r="H574" s="684">
        <v>78.739999999999995</v>
      </c>
      <c r="I574" t="s">
        <v>699</v>
      </c>
    </row>
    <row r="575" spans="1:9">
      <c r="A575" s="177">
        <v>45108</v>
      </c>
      <c r="B575" t="s">
        <v>544</v>
      </c>
      <c r="C575" t="s">
        <v>15</v>
      </c>
      <c r="D575" s="684">
        <v>5</v>
      </c>
      <c r="E575" s="684">
        <v>1</v>
      </c>
      <c r="F575" t="s">
        <v>19</v>
      </c>
      <c r="G575" s="684">
        <v>1</v>
      </c>
      <c r="H575" s="684">
        <v>78.739999999999995</v>
      </c>
      <c r="I575" t="s">
        <v>699</v>
      </c>
    </row>
    <row r="576" spans="1:9">
      <c r="A576" s="177">
        <v>45108</v>
      </c>
      <c r="B576" t="s">
        <v>544</v>
      </c>
      <c r="C576" t="s">
        <v>15</v>
      </c>
      <c r="D576" s="684">
        <v>5</v>
      </c>
      <c r="E576" s="684">
        <v>1</v>
      </c>
      <c r="F576" t="s">
        <v>20</v>
      </c>
      <c r="G576" s="684">
        <v>1.0629</v>
      </c>
      <c r="H576" s="684">
        <v>83.69</v>
      </c>
      <c r="I576" t="s">
        <v>699</v>
      </c>
    </row>
    <row r="577" spans="1:9">
      <c r="A577" s="177">
        <v>45108</v>
      </c>
      <c r="B577" t="s">
        <v>544</v>
      </c>
      <c r="C577" t="s">
        <v>15</v>
      </c>
      <c r="D577" s="684">
        <v>5</v>
      </c>
      <c r="E577" s="684">
        <v>1</v>
      </c>
      <c r="F577" t="s">
        <v>21</v>
      </c>
      <c r="G577" s="684">
        <v>1</v>
      </c>
      <c r="H577" s="684">
        <v>78.739999999999995</v>
      </c>
      <c r="I577" t="s">
        <v>699</v>
      </c>
    </row>
    <row r="578" spans="1:9">
      <c r="A578" s="177">
        <v>45108</v>
      </c>
      <c r="B578" t="s">
        <v>545</v>
      </c>
      <c r="C578" t="s">
        <v>15</v>
      </c>
      <c r="D578" s="684">
        <v>5</v>
      </c>
      <c r="E578" s="684">
        <v>2</v>
      </c>
      <c r="F578" t="s">
        <v>16</v>
      </c>
      <c r="G578" s="684">
        <v>1</v>
      </c>
      <c r="H578" s="684">
        <v>81.73</v>
      </c>
      <c r="I578" t="s">
        <v>699</v>
      </c>
    </row>
    <row r="579" spans="1:9">
      <c r="A579" s="177">
        <v>45108</v>
      </c>
      <c r="B579" t="s">
        <v>545</v>
      </c>
      <c r="C579" t="s">
        <v>15</v>
      </c>
      <c r="D579" s="684">
        <v>5</v>
      </c>
      <c r="E579" s="684">
        <v>2</v>
      </c>
      <c r="F579" t="s">
        <v>17</v>
      </c>
      <c r="G579" s="684">
        <v>1.0789</v>
      </c>
      <c r="H579" s="684">
        <v>88.18</v>
      </c>
      <c r="I579" t="s">
        <v>699</v>
      </c>
    </row>
    <row r="580" spans="1:9">
      <c r="A580" s="177">
        <v>45108</v>
      </c>
      <c r="B580" t="s">
        <v>545</v>
      </c>
      <c r="C580" t="s">
        <v>15</v>
      </c>
      <c r="D580" s="684">
        <v>5</v>
      </c>
      <c r="E580" s="684">
        <v>2</v>
      </c>
      <c r="F580" t="s">
        <v>18</v>
      </c>
      <c r="G580" s="684">
        <v>1</v>
      </c>
      <c r="H580" s="684">
        <v>81.73</v>
      </c>
      <c r="I580" t="s">
        <v>699</v>
      </c>
    </row>
    <row r="581" spans="1:9">
      <c r="A581" s="177">
        <v>45108</v>
      </c>
      <c r="B581" t="s">
        <v>545</v>
      </c>
      <c r="C581" t="s">
        <v>15</v>
      </c>
      <c r="D581" s="684">
        <v>5</v>
      </c>
      <c r="E581" s="684">
        <v>2</v>
      </c>
      <c r="F581" t="s">
        <v>19</v>
      </c>
      <c r="G581" s="684">
        <v>1</v>
      </c>
      <c r="H581" s="684">
        <v>81.73</v>
      </c>
      <c r="I581" t="s">
        <v>699</v>
      </c>
    </row>
    <row r="582" spans="1:9">
      <c r="A582" s="177">
        <v>45108</v>
      </c>
      <c r="B582" t="s">
        <v>545</v>
      </c>
      <c r="C582" t="s">
        <v>15</v>
      </c>
      <c r="D582" s="684">
        <v>5</v>
      </c>
      <c r="E582" s="684">
        <v>2</v>
      </c>
      <c r="F582" t="s">
        <v>20</v>
      </c>
      <c r="G582" s="684">
        <v>1.0629</v>
      </c>
      <c r="H582" s="684">
        <v>86.87</v>
      </c>
      <c r="I582" t="s">
        <v>699</v>
      </c>
    </row>
    <row r="583" spans="1:9">
      <c r="A583" s="177">
        <v>45108</v>
      </c>
      <c r="B583" t="s">
        <v>545</v>
      </c>
      <c r="C583" t="s">
        <v>15</v>
      </c>
      <c r="D583" s="684">
        <v>5</v>
      </c>
      <c r="E583" s="684">
        <v>2</v>
      </c>
      <c r="F583" t="s">
        <v>21</v>
      </c>
      <c r="G583" s="684">
        <v>1</v>
      </c>
      <c r="H583" s="684">
        <v>81.73</v>
      </c>
      <c r="I583" t="s">
        <v>699</v>
      </c>
    </row>
    <row r="584" spans="1:9">
      <c r="A584" s="177">
        <v>45108</v>
      </c>
      <c r="B584" t="s">
        <v>546</v>
      </c>
      <c r="C584" t="s">
        <v>15</v>
      </c>
      <c r="D584" s="684">
        <v>5</v>
      </c>
      <c r="E584" s="684">
        <v>3</v>
      </c>
      <c r="F584" t="s">
        <v>16</v>
      </c>
      <c r="G584" s="684">
        <v>1</v>
      </c>
      <c r="H584" s="684">
        <v>86.58</v>
      </c>
      <c r="I584" t="s">
        <v>699</v>
      </c>
    </row>
    <row r="585" spans="1:9">
      <c r="A585" s="177">
        <v>45108</v>
      </c>
      <c r="B585" t="s">
        <v>546</v>
      </c>
      <c r="C585" t="s">
        <v>15</v>
      </c>
      <c r="D585" s="684">
        <v>5</v>
      </c>
      <c r="E585" s="684">
        <v>3</v>
      </c>
      <c r="F585" t="s">
        <v>17</v>
      </c>
      <c r="G585" s="684">
        <v>1.0789</v>
      </c>
      <c r="H585" s="684">
        <v>93.41</v>
      </c>
      <c r="I585" t="s">
        <v>699</v>
      </c>
    </row>
    <row r="586" spans="1:9">
      <c r="A586" s="177">
        <v>45108</v>
      </c>
      <c r="B586" t="s">
        <v>546</v>
      </c>
      <c r="C586" t="s">
        <v>15</v>
      </c>
      <c r="D586" s="684">
        <v>5</v>
      </c>
      <c r="E586" s="684">
        <v>3</v>
      </c>
      <c r="F586" t="s">
        <v>18</v>
      </c>
      <c r="G586" s="684">
        <v>1</v>
      </c>
      <c r="H586" s="684">
        <v>86.58</v>
      </c>
      <c r="I586" t="s">
        <v>699</v>
      </c>
    </row>
    <row r="587" spans="1:9">
      <c r="A587" s="177">
        <v>45108</v>
      </c>
      <c r="B587" t="s">
        <v>546</v>
      </c>
      <c r="C587" t="s">
        <v>15</v>
      </c>
      <c r="D587" s="684">
        <v>5</v>
      </c>
      <c r="E587" s="684">
        <v>3</v>
      </c>
      <c r="F587" t="s">
        <v>19</v>
      </c>
      <c r="G587" s="684">
        <v>1</v>
      </c>
      <c r="H587" s="684">
        <v>86.58</v>
      </c>
      <c r="I587" t="s">
        <v>699</v>
      </c>
    </row>
    <row r="588" spans="1:9">
      <c r="A588" s="177">
        <v>45108</v>
      </c>
      <c r="B588" t="s">
        <v>546</v>
      </c>
      <c r="C588" t="s">
        <v>15</v>
      </c>
      <c r="D588" s="684">
        <v>5</v>
      </c>
      <c r="E588" s="684">
        <v>3</v>
      </c>
      <c r="F588" t="s">
        <v>20</v>
      </c>
      <c r="G588" s="684">
        <v>1.0629</v>
      </c>
      <c r="H588" s="684">
        <v>92.03</v>
      </c>
      <c r="I588" t="s">
        <v>699</v>
      </c>
    </row>
    <row r="589" spans="1:9">
      <c r="A589" s="177">
        <v>45108</v>
      </c>
      <c r="B589" t="s">
        <v>546</v>
      </c>
      <c r="C589" t="s">
        <v>15</v>
      </c>
      <c r="D589" s="684">
        <v>5</v>
      </c>
      <c r="E589" s="684">
        <v>3</v>
      </c>
      <c r="F589" t="s">
        <v>21</v>
      </c>
      <c r="G589" s="684">
        <v>1</v>
      </c>
      <c r="H589" s="684">
        <v>86.58</v>
      </c>
      <c r="I589" t="s">
        <v>699</v>
      </c>
    </row>
    <row r="590" spans="1:9">
      <c r="A590" s="177">
        <v>45108</v>
      </c>
      <c r="B590" t="s">
        <v>547</v>
      </c>
      <c r="C590" t="s">
        <v>15</v>
      </c>
      <c r="D590" s="684">
        <v>5</v>
      </c>
      <c r="E590" s="684">
        <v>4</v>
      </c>
      <c r="F590" t="s">
        <v>16</v>
      </c>
      <c r="G590" s="684">
        <v>1</v>
      </c>
      <c r="H590" s="684">
        <v>93.13</v>
      </c>
      <c r="I590" t="s">
        <v>699</v>
      </c>
    </row>
    <row r="591" spans="1:9">
      <c r="A591" s="177">
        <v>45108</v>
      </c>
      <c r="B591" t="s">
        <v>547</v>
      </c>
      <c r="C591" t="s">
        <v>15</v>
      </c>
      <c r="D591" s="684">
        <v>5</v>
      </c>
      <c r="E591" s="684">
        <v>4</v>
      </c>
      <c r="F591" t="s">
        <v>17</v>
      </c>
      <c r="G591" s="684">
        <v>1.0789</v>
      </c>
      <c r="H591" s="684">
        <v>100.48</v>
      </c>
      <c r="I591" t="s">
        <v>699</v>
      </c>
    </row>
    <row r="592" spans="1:9">
      <c r="A592" s="177">
        <v>45108</v>
      </c>
      <c r="B592" t="s">
        <v>547</v>
      </c>
      <c r="C592" t="s">
        <v>15</v>
      </c>
      <c r="D592" s="684">
        <v>5</v>
      </c>
      <c r="E592" s="684">
        <v>4</v>
      </c>
      <c r="F592" t="s">
        <v>18</v>
      </c>
      <c r="G592" s="684">
        <v>1</v>
      </c>
      <c r="H592" s="684">
        <v>93.13</v>
      </c>
      <c r="I592" t="s">
        <v>699</v>
      </c>
    </row>
    <row r="593" spans="1:9">
      <c r="A593" s="177">
        <v>45108</v>
      </c>
      <c r="B593" t="s">
        <v>547</v>
      </c>
      <c r="C593" t="s">
        <v>15</v>
      </c>
      <c r="D593" s="684">
        <v>5</v>
      </c>
      <c r="E593" s="684">
        <v>4</v>
      </c>
      <c r="F593" t="s">
        <v>19</v>
      </c>
      <c r="G593" s="684">
        <v>1</v>
      </c>
      <c r="H593" s="684">
        <v>93.13</v>
      </c>
      <c r="I593" t="s">
        <v>699</v>
      </c>
    </row>
    <row r="594" spans="1:9">
      <c r="A594" s="177">
        <v>45108</v>
      </c>
      <c r="B594" t="s">
        <v>547</v>
      </c>
      <c r="C594" t="s">
        <v>15</v>
      </c>
      <c r="D594" s="684">
        <v>5</v>
      </c>
      <c r="E594" s="684">
        <v>4</v>
      </c>
      <c r="F594" t="s">
        <v>20</v>
      </c>
      <c r="G594" s="684">
        <v>1.0629</v>
      </c>
      <c r="H594" s="684">
        <v>98.99</v>
      </c>
      <c r="I594" t="s">
        <v>699</v>
      </c>
    </row>
    <row r="595" spans="1:9">
      <c r="A595" s="177">
        <v>45108</v>
      </c>
      <c r="B595" t="s">
        <v>547</v>
      </c>
      <c r="C595" t="s">
        <v>15</v>
      </c>
      <c r="D595" s="684">
        <v>5</v>
      </c>
      <c r="E595" s="684">
        <v>4</v>
      </c>
      <c r="F595" t="s">
        <v>21</v>
      </c>
      <c r="G595" s="684">
        <v>1</v>
      </c>
      <c r="H595" s="684">
        <v>93.13</v>
      </c>
      <c r="I595" t="s">
        <v>699</v>
      </c>
    </row>
    <row r="596" spans="1:9">
      <c r="A596" s="177">
        <v>45108</v>
      </c>
      <c r="B596" t="s">
        <v>548</v>
      </c>
      <c r="C596" t="s">
        <v>15</v>
      </c>
      <c r="D596" s="684">
        <v>5</v>
      </c>
      <c r="E596" s="684">
        <v>5</v>
      </c>
      <c r="F596" t="s">
        <v>16</v>
      </c>
      <c r="G596" s="684">
        <v>1</v>
      </c>
      <c r="H596" s="684">
        <v>98.89</v>
      </c>
      <c r="I596" t="s">
        <v>699</v>
      </c>
    </row>
    <row r="597" spans="1:9">
      <c r="A597" s="177">
        <v>45108</v>
      </c>
      <c r="B597" t="s">
        <v>548</v>
      </c>
      <c r="C597" t="s">
        <v>15</v>
      </c>
      <c r="D597" s="684">
        <v>5</v>
      </c>
      <c r="E597" s="684">
        <v>5</v>
      </c>
      <c r="F597" t="s">
        <v>17</v>
      </c>
      <c r="G597" s="684">
        <v>1.0789</v>
      </c>
      <c r="H597" s="684">
        <v>106.69</v>
      </c>
      <c r="I597" t="s">
        <v>699</v>
      </c>
    </row>
    <row r="598" spans="1:9">
      <c r="A598" s="177">
        <v>45108</v>
      </c>
      <c r="B598" t="s">
        <v>548</v>
      </c>
      <c r="C598" t="s">
        <v>15</v>
      </c>
      <c r="D598" s="684">
        <v>5</v>
      </c>
      <c r="E598" s="684">
        <v>5</v>
      </c>
      <c r="F598" t="s">
        <v>18</v>
      </c>
      <c r="G598" s="684">
        <v>1</v>
      </c>
      <c r="H598" s="684">
        <v>98.89</v>
      </c>
      <c r="I598" t="s">
        <v>699</v>
      </c>
    </row>
    <row r="599" spans="1:9">
      <c r="A599" s="177">
        <v>45108</v>
      </c>
      <c r="B599" t="s">
        <v>548</v>
      </c>
      <c r="C599" t="s">
        <v>15</v>
      </c>
      <c r="D599" s="684">
        <v>5</v>
      </c>
      <c r="E599" s="684">
        <v>5</v>
      </c>
      <c r="F599" t="s">
        <v>19</v>
      </c>
      <c r="G599" s="684">
        <v>1</v>
      </c>
      <c r="H599" s="684">
        <v>98.89</v>
      </c>
      <c r="I599" t="s">
        <v>699</v>
      </c>
    </row>
    <row r="600" spans="1:9">
      <c r="A600" s="177">
        <v>45108</v>
      </c>
      <c r="B600" t="s">
        <v>548</v>
      </c>
      <c r="C600" t="s">
        <v>15</v>
      </c>
      <c r="D600" s="684">
        <v>5</v>
      </c>
      <c r="E600" s="684">
        <v>5</v>
      </c>
      <c r="F600" t="s">
        <v>20</v>
      </c>
      <c r="G600" s="684">
        <v>1.0629</v>
      </c>
      <c r="H600" s="684">
        <v>105.11</v>
      </c>
      <c r="I600" t="s">
        <v>699</v>
      </c>
    </row>
    <row r="601" spans="1:9">
      <c r="A601" s="177">
        <v>45108</v>
      </c>
      <c r="B601" t="s">
        <v>548</v>
      </c>
      <c r="C601" t="s">
        <v>15</v>
      </c>
      <c r="D601" s="684">
        <v>5</v>
      </c>
      <c r="E601" s="684">
        <v>5</v>
      </c>
      <c r="F601" t="s">
        <v>21</v>
      </c>
      <c r="G601" s="684">
        <v>1</v>
      </c>
      <c r="H601" s="684">
        <v>98.89</v>
      </c>
      <c r="I601" t="s">
        <v>699</v>
      </c>
    </row>
    <row r="602" spans="1:9">
      <c r="A602" s="177">
        <v>45108</v>
      </c>
      <c r="B602" t="s">
        <v>549</v>
      </c>
      <c r="C602" t="s">
        <v>375</v>
      </c>
      <c r="D602" s="684">
        <v>1</v>
      </c>
      <c r="E602" s="684">
        <v>1</v>
      </c>
      <c r="F602" t="s">
        <v>16</v>
      </c>
      <c r="G602" s="684">
        <v>1</v>
      </c>
      <c r="H602" s="684">
        <v>28.2</v>
      </c>
      <c r="I602" t="s">
        <v>691</v>
      </c>
    </row>
    <row r="603" spans="1:9">
      <c r="A603" s="177">
        <v>45108</v>
      </c>
      <c r="B603" t="s">
        <v>549</v>
      </c>
      <c r="C603" t="s">
        <v>375</v>
      </c>
      <c r="D603" s="684">
        <v>1</v>
      </c>
      <c r="E603" s="684">
        <v>1</v>
      </c>
      <c r="F603" t="s">
        <v>17</v>
      </c>
      <c r="G603" s="684">
        <v>1.0789</v>
      </c>
      <c r="H603" s="684">
        <v>30.42</v>
      </c>
      <c r="I603" t="s">
        <v>691</v>
      </c>
    </row>
    <row r="604" spans="1:9">
      <c r="A604" s="177">
        <v>45108</v>
      </c>
      <c r="B604" t="s">
        <v>549</v>
      </c>
      <c r="C604" t="s">
        <v>375</v>
      </c>
      <c r="D604" s="684">
        <v>1</v>
      </c>
      <c r="E604" s="684">
        <v>1</v>
      </c>
      <c r="F604" t="s">
        <v>18</v>
      </c>
      <c r="G604" s="684">
        <v>1</v>
      </c>
      <c r="H604" s="684">
        <v>28.2</v>
      </c>
      <c r="I604" t="s">
        <v>691</v>
      </c>
    </row>
    <row r="605" spans="1:9">
      <c r="A605" s="177">
        <v>45108</v>
      </c>
      <c r="B605" t="s">
        <v>549</v>
      </c>
      <c r="C605" t="s">
        <v>375</v>
      </c>
      <c r="D605" s="684">
        <v>1</v>
      </c>
      <c r="E605" s="684">
        <v>1</v>
      </c>
      <c r="F605" t="s">
        <v>19</v>
      </c>
      <c r="G605" s="684">
        <v>1</v>
      </c>
      <c r="H605" s="684">
        <v>28.2</v>
      </c>
      <c r="I605" t="s">
        <v>691</v>
      </c>
    </row>
    <row r="606" spans="1:9">
      <c r="A606" s="177">
        <v>45108</v>
      </c>
      <c r="B606" t="s">
        <v>549</v>
      </c>
      <c r="C606" t="s">
        <v>375</v>
      </c>
      <c r="D606" s="684">
        <v>1</v>
      </c>
      <c r="E606" s="684">
        <v>1</v>
      </c>
      <c r="F606" t="s">
        <v>20</v>
      </c>
      <c r="G606" s="684">
        <v>1.0629</v>
      </c>
      <c r="H606" s="684">
        <v>29.97</v>
      </c>
      <c r="I606" t="s">
        <v>691</v>
      </c>
    </row>
    <row r="607" spans="1:9">
      <c r="A607" s="177">
        <v>45108</v>
      </c>
      <c r="B607" t="s">
        <v>549</v>
      </c>
      <c r="C607" t="s">
        <v>375</v>
      </c>
      <c r="D607" s="684">
        <v>1</v>
      </c>
      <c r="E607" s="684">
        <v>1</v>
      </c>
      <c r="F607" t="s">
        <v>21</v>
      </c>
      <c r="G607" s="684">
        <v>1</v>
      </c>
      <c r="H607" s="684">
        <v>28.2</v>
      </c>
      <c r="I607" t="s">
        <v>691</v>
      </c>
    </row>
    <row r="608" spans="1:9">
      <c r="A608" s="177">
        <v>45108</v>
      </c>
      <c r="B608" t="s">
        <v>550</v>
      </c>
      <c r="C608" t="s">
        <v>375</v>
      </c>
      <c r="D608" s="684">
        <v>1</v>
      </c>
      <c r="E608" s="684">
        <v>2</v>
      </c>
      <c r="F608" t="s">
        <v>16</v>
      </c>
      <c r="G608" s="684">
        <v>1</v>
      </c>
      <c r="H608" s="684">
        <v>30.84</v>
      </c>
      <c r="I608" t="s">
        <v>691</v>
      </c>
    </row>
    <row r="609" spans="1:9">
      <c r="A609" s="177">
        <v>45108</v>
      </c>
      <c r="B609" t="s">
        <v>550</v>
      </c>
      <c r="C609" t="s">
        <v>375</v>
      </c>
      <c r="D609" s="684">
        <v>1</v>
      </c>
      <c r="E609" s="684">
        <v>2</v>
      </c>
      <c r="F609" t="s">
        <v>17</v>
      </c>
      <c r="G609" s="684">
        <v>1.0789</v>
      </c>
      <c r="H609" s="684">
        <v>33.270000000000003</v>
      </c>
      <c r="I609" t="s">
        <v>691</v>
      </c>
    </row>
    <row r="610" spans="1:9">
      <c r="A610" s="177">
        <v>45108</v>
      </c>
      <c r="B610" t="s">
        <v>550</v>
      </c>
      <c r="C610" t="s">
        <v>375</v>
      </c>
      <c r="D610" s="684">
        <v>1</v>
      </c>
      <c r="E610" s="684">
        <v>2</v>
      </c>
      <c r="F610" t="s">
        <v>18</v>
      </c>
      <c r="G610" s="684">
        <v>1</v>
      </c>
      <c r="H610" s="684">
        <v>30.84</v>
      </c>
      <c r="I610" t="s">
        <v>691</v>
      </c>
    </row>
    <row r="611" spans="1:9">
      <c r="A611" s="177">
        <v>45108</v>
      </c>
      <c r="B611" t="s">
        <v>550</v>
      </c>
      <c r="C611" t="s">
        <v>375</v>
      </c>
      <c r="D611" s="684">
        <v>1</v>
      </c>
      <c r="E611" s="684">
        <v>2</v>
      </c>
      <c r="F611" t="s">
        <v>19</v>
      </c>
      <c r="G611" s="684">
        <v>1</v>
      </c>
      <c r="H611" s="684">
        <v>30.84</v>
      </c>
      <c r="I611" t="s">
        <v>691</v>
      </c>
    </row>
    <row r="612" spans="1:9">
      <c r="A612" s="177">
        <v>45108</v>
      </c>
      <c r="B612" t="s">
        <v>550</v>
      </c>
      <c r="C612" t="s">
        <v>375</v>
      </c>
      <c r="D612" s="684">
        <v>1</v>
      </c>
      <c r="E612" s="684">
        <v>2</v>
      </c>
      <c r="F612" t="s">
        <v>20</v>
      </c>
      <c r="G612" s="684">
        <v>1.0629</v>
      </c>
      <c r="H612" s="684">
        <v>32.78</v>
      </c>
      <c r="I612" t="s">
        <v>691</v>
      </c>
    </row>
    <row r="613" spans="1:9">
      <c r="A613" s="177">
        <v>45108</v>
      </c>
      <c r="B613" t="s">
        <v>550</v>
      </c>
      <c r="C613" t="s">
        <v>375</v>
      </c>
      <c r="D613" s="684">
        <v>1</v>
      </c>
      <c r="E613" s="684">
        <v>2</v>
      </c>
      <c r="F613" t="s">
        <v>21</v>
      </c>
      <c r="G613" s="684">
        <v>1</v>
      </c>
      <c r="H613" s="684">
        <v>30.84</v>
      </c>
      <c r="I613" t="s">
        <v>691</v>
      </c>
    </row>
    <row r="614" spans="1:9">
      <c r="A614" s="177">
        <v>45108</v>
      </c>
      <c r="B614" t="s">
        <v>551</v>
      </c>
      <c r="C614" t="s">
        <v>375</v>
      </c>
      <c r="D614" s="684">
        <v>1</v>
      </c>
      <c r="E614" s="684">
        <v>3</v>
      </c>
      <c r="F614" t="s">
        <v>16</v>
      </c>
      <c r="G614" s="684">
        <v>1</v>
      </c>
      <c r="H614" s="684">
        <v>35.11</v>
      </c>
      <c r="I614" t="s">
        <v>691</v>
      </c>
    </row>
    <row r="615" spans="1:9">
      <c r="A615" s="177">
        <v>45108</v>
      </c>
      <c r="B615" t="s">
        <v>551</v>
      </c>
      <c r="C615" t="s">
        <v>375</v>
      </c>
      <c r="D615" s="684">
        <v>1</v>
      </c>
      <c r="E615" s="684">
        <v>3</v>
      </c>
      <c r="F615" t="s">
        <v>17</v>
      </c>
      <c r="G615" s="684">
        <v>1.0789</v>
      </c>
      <c r="H615" s="684">
        <v>37.880000000000003</v>
      </c>
      <c r="I615" t="s">
        <v>691</v>
      </c>
    </row>
    <row r="616" spans="1:9">
      <c r="A616" s="177">
        <v>45108</v>
      </c>
      <c r="B616" t="s">
        <v>551</v>
      </c>
      <c r="C616" t="s">
        <v>375</v>
      </c>
      <c r="D616" s="684">
        <v>1</v>
      </c>
      <c r="E616" s="684">
        <v>3</v>
      </c>
      <c r="F616" t="s">
        <v>18</v>
      </c>
      <c r="G616" s="684">
        <v>1</v>
      </c>
      <c r="H616" s="684">
        <v>35.11</v>
      </c>
      <c r="I616" t="s">
        <v>691</v>
      </c>
    </row>
    <row r="617" spans="1:9">
      <c r="A617" s="177">
        <v>45108</v>
      </c>
      <c r="B617" t="s">
        <v>551</v>
      </c>
      <c r="C617" t="s">
        <v>375</v>
      </c>
      <c r="D617" s="684">
        <v>1</v>
      </c>
      <c r="E617" s="684">
        <v>3</v>
      </c>
      <c r="F617" t="s">
        <v>19</v>
      </c>
      <c r="G617" s="684">
        <v>1</v>
      </c>
      <c r="H617" s="684">
        <v>35.11</v>
      </c>
      <c r="I617" t="s">
        <v>691</v>
      </c>
    </row>
    <row r="618" spans="1:9">
      <c r="A618" s="177">
        <v>45108</v>
      </c>
      <c r="B618" t="s">
        <v>551</v>
      </c>
      <c r="C618" t="s">
        <v>375</v>
      </c>
      <c r="D618" s="684">
        <v>1</v>
      </c>
      <c r="E618" s="684">
        <v>3</v>
      </c>
      <c r="F618" t="s">
        <v>20</v>
      </c>
      <c r="G618" s="684">
        <v>1.0629</v>
      </c>
      <c r="H618" s="684">
        <v>37.32</v>
      </c>
      <c r="I618" t="s">
        <v>691</v>
      </c>
    </row>
    <row r="619" spans="1:9">
      <c r="A619" s="177">
        <v>45108</v>
      </c>
      <c r="B619" t="s">
        <v>551</v>
      </c>
      <c r="C619" t="s">
        <v>375</v>
      </c>
      <c r="D619" s="684">
        <v>1</v>
      </c>
      <c r="E619" s="684">
        <v>3</v>
      </c>
      <c r="F619" t="s">
        <v>21</v>
      </c>
      <c r="G619" s="684">
        <v>1</v>
      </c>
      <c r="H619" s="684">
        <v>35.11</v>
      </c>
      <c r="I619" t="s">
        <v>691</v>
      </c>
    </row>
    <row r="620" spans="1:9">
      <c r="A620" s="177">
        <v>45108</v>
      </c>
      <c r="B620" t="s">
        <v>552</v>
      </c>
      <c r="C620" t="s">
        <v>375</v>
      </c>
      <c r="D620" s="684">
        <v>1</v>
      </c>
      <c r="E620" s="684">
        <v>4</v>
      </c>
      <c r="F620" t="s">
        <v>16</v>
      </c>
      <c r="G620" s="684">
        <v>1</v>
      </c>
      <c r="H620" s="684">
        <v>40.869999999999997</v>
      </c>
      <c r="I620" t="s">
        <v>691</v>
      </c>
    </row>
    <row r="621" spans="1:9">
      <c r="A621" s="177">
        <v>45108</v>
      </c>
      <c r="B621" t="s">
        <v>552</v>
      </c>
      <c r="C621" t="s">
        <v>375</v>
      </c>
      <c r="D621" s="684">
        <v>1</v>
      </c>
      <c r="E621" s="684">
        <v>4</v>
      </c>
      <c r="F621" t="s">
        <v>17</v>
      </c>
      <c r="G621" s="684">
        <v>1.0789</v>
      </c>
      <c r="H621" s="684">
        <v>44.09</v>
      </c>
      <c r="I621" t="s">
        <v>691</v>
      </c>
    </row>
    <row r="622" spans="1:9">
      <c r="A622" s="177">
        <v>45108</v>
      </c>
      <c r="B622" t="s">
        <v>552</v>
      </c>
      <c r="C622" t="s">
        <v>375</v>
      </c>
      <c r="D622" s="684">
        <v>1</v>
      </c>
      <c r="E622" s="684">
        <v>4</v>
      </c>
      <c r="F622" t="s">
        <v>18</v>
      </c>
      <c r="G622" s="684">
        <v>1</v>
      </c>
      <c r="H622" s="684">
        <v>40.869999999999997</v>
      </c>
      <c r="I622" t="s">
        <v>691</v>
      </c>
    </row>
    <row r="623" spans="1:9">
      <c r="A623" s="177">
        <v>45108</v>
      </c>
      <c r="B623" t="s">
        <v>552</v>
      </c>
      <c r="C623" t="s">
        <v>375</v>
      </c>
      <c r="D623" s="684">
        <v>1</v>
      </c>
      <c r="E623" s="684">
        <v>4</v>
      </c>
      <c r="F623" t="s">
        <v>19</v>
      </c>
      <c r="G623" s="684">
        <v>1</v>
      </c>
      <c r="H623" s="684">
        <v>40.869999999999997</v>
      </c>
      <c r="I623" t="s">
        <v>691</v>
      </c>
    </row>
    <row r="624" spans="1:9">
      <c r="A624" s="177">
        <v>45108</v>
      </c>
      <c r="B624" t="s">
        <v>552</v>
      </c>
      <c r="C624" t="s">
        <v>375</v>
      </c>
      <c r="D624" s="684">
        <v>1</v>
      </c>
      <c r="E624" s="684">
        <v>4</v>
      </c>
      <c r="F624" t="s">
        <v>20</v>
      </c>
      <c r="G624" s="684">
        <v>1.0629</v>
      </c>
      <c r="H624" s="684">
        <v>43.44</v>
      </c>
      <c r="I624" t="s">
        <v>691</v>
      </c>
    </row>
    <row r="625" spans="1:9">
      <c r="A625" s="177">
        <v>45108</v>
      </c>
      <c r="B625" t="s">
        <v>552</v>
      </c>
      <c r="C625" t="s">
        <v>375</v>
      </c>
      <c r="D625" s="684">
        <v>1</v>
      </c>
      <c r="E625" s="684">
        <v>4</v>
      </c>
      <c r="F625" t="s">
        <v>21</v>
      </c>
      <c r="G625" s="684">
        <v>1</v>
      </c>
      <c r="H625" s="684">
        <v>40.869999999999997</v>
      </c>
      <c r="I625" t="s">
        <v>691</v>
      </c>
    </row>
    <row r="626" spans="1:9">
      <c r="A626" s="177">
        <v>45108</v>
      </c>
      <c r="B626" t="s">
        <v>553</v>
      </c>
      <c r="C626" t="s">
        <v>375</v>
      </c>
      <c r="D626" s="684">
        <v>1</v>
      </c>
      <c r="E626" s="684">
        <v>5</v>
      </c>
      <c r="F626" t="s">
        <v>16</v>
      </c>
      <c r="G626" s="684">
        <v>1</v>
      </c>
      <c r="H626" s="684">
        <v>45.91</v>
      </c>
      <c r="I626" t="s">
        <v>691</v>
      </c>
    </row>
    <row r="627" spans="1:9">
      <c r="A627" s="177">
        <v>45108</v>
      </c>
      <c r="B627" t="s">
        <v>553</v>
      </c>
      <c r="C627" t="s">
        <v>375</v>
      </c>
      <c r="D627" s="684">
        <v>1</v>
      </c>
      <c r="E627" s="684">
        <v>5</v>
      </c>
      <c r="F627" t="s">
        <v>17</v>
      </c>
      <c r="G627" s="684">
        <v>1.0789</v>
      </c>
      <c r="H627" s="684">
        <v>49.53</v>
      </c>
      <c r="I627" t="s">
        <v>691</v>
      </c>
    </row>
    <row r="628" spans="1:9">
      <c r="A628" s="177">
        <v>45108</v>
      </c>
      <c r="B628" t="s">
        <v>553</v>
      </c>
      <c r="C628" t="s">
        <v>375</v>
      </c>
      <c r="D628" s="684">
        <v>1</v>
      </c>
      <c r="E628" s="684">
        <v>5</v>
      </c>
      <c r="F628" t="s">
        <v>18</v>
      </c>
      <c r="G628" s="684">
        <v>1</v>
      </c>
      <c r="H628" s="684">
        <v>45.91</v>
      </c>
      <c r="I628" t="s">
        <v>691</v>
      </c>
    </row>
    <row r="629" spans="1:9">
      <c r="A629" s="177">
        <v>45108</v>
      </c>
      <c r="B629" t="s">
        <v>553</v>
      </c>
      <c r="C629" t="s">
        <v>375</v>
      </c>
      <c r="D629" s="684">
        <v>1</v>
      </c>
      <c r="E629" s="684">
        <v>5</v>
      </c>
      <c r="F629" t="s">
        <v>19</v>
      </c>
      <c r="G629" s="684">
        <v>1</v>
      </c>
      <c r="H629" s="684">
        <v>45.91</v>
      </c>
      <c r="I629" t="s">
        <v>691</v>
      </c>
    </row>
    <row r="630" spans="1:9">
      <c r="A630" s="177">
        <v>45108</v>
      </c>
      <c r="B630" t="s">
        <v>553</v>
      </c>
      <c r="C630" t="s">
        <v>375</v>
      </c>
      <c r="D630" s="684">
        <v>1</v>
      </c>
      <c r="E630" s="684">
        <v>5</v>
      </c>
      <c r="F630" t="s">
        <v>20</v>
      </c>
      <c r="G630" s="684">
        <v>1.0629</v>
      </c>
      <c r="H630" s="684">
        <v>48.8</v>
      </c>
      <c r="I630" t="s">
        <v>691</v>
      </c>
    </row>
    <row r="631" spans="1:9">
      <c r="A631" s="177">
        <v>45108</v>
      </c>
      <c r="B631" t="s">
        <v>553</v>
      </c>
      <c r="C631" t="s">
        <v>375</v>
      </c>
      <c r="D631" s="684">
        <v>1</v>
      </c>
      <c r="E631" s="684">
        <v>5</v>
      </c>
      <c r="F631" t="s">
        <v>21</v>
      </c>
      <c r="G631" s="684">
        <v>1</v>
      </c>
      <c r="H631" s="684">
        <v>45.91</v>
      </c>
      <c r="I631" t="s">
        <v>691</v>
      </c>
    </row>
    <row r="632" spans="1:9">
      <c r="A632" s="177">
        <v>45108</v>
      </c>
      <c r="B632" t="s">
        <v>554</v>
      </c>
      <c r="C632" t="s">
        <v>375</v>
      </c>
      <c r="D632" s="684">
        <v>2</v>
      </c>
      <c r="E632" s="684">
        <v>1</v>
      </c>
      <c r="F632" t="s">
        <v>16</v>
      </c>
      <c r="G632" s="684">
        <v>1</v>
      </c>
      <c r="H632" s="684">
        <v>50.48</v>
      </c>
      <c r="I632" t="s">
        <v>691</v>
      </c>
    </row>
    <row r="633" spans="1:9">
      <c r="A633" s="177">
        <v>45108</v>
      </c>
      <c r="B633" t="s">
        <v>554</v>
      </c>
      <c r="C633" t="s">
        <v>375</v>
      </c>
      <c r="D633" s="684">
        <v>2</v>
      </c>
      <c r="E633" s="684">
        <v>1</v>
      </c>
      <c r="F633" t="s">
        <v>17</v>
      </c>
      <c r="G633" s="684">
        <v>1.0789</v>
      </c>
      <c r="H633" s="684">
        <v>54.46</v>
      </c>
      <c r="I633" t="s">
        <v>691</v>
      </c>
    </row>
    <row r="634" spans="1:9">
      <c r="A634" s="177">
        <v>45108</v>
      </c>
      <c r="B634" t="s">
        <v>554</v>
      </c>
      <c r="C634" t="s">
        <v>375</v>
      </c>
      <c r="D634" s="684">
        <v>2</v>
      </c>
      <c r="E634" s="684">
        <v>1</v>
      </c>
      <c r="F634" t="s">
        <v>18</v>
      </c>
      <c r="G634" s="684">
        <v>1</v>
      </c>
      <c r="H634" s="684">
        <v>50.48</v>
      </c>
      <c r="I634" t="s">
        <v>691</v>
      </c>
    </row>
    <row r="635" spans="1:9">
      <c r="A635" s="177">
        <v>45108</v>
      </c>
      <c r="B635" t="s">
        <v>554</v>
      </c>
      <c r="C635" t="s">
        <v>375</v>
      </c>
      <c r="D635" s="684">
        <v>2</v>
      </c>
      <c r="E635" s="684">
        <v>1</v>
      </c>
      <c r="F635" t="s">
        <v>19</v>
      </c>
      <c r="G635" s="684">
        <v>1</v>
      </c>
      <c r="H635" s="684">
        <v>50.48</v>
      </c>
      <c r="I635" t="s">
        <v>691</v>
      </c>
    </row>
    <row r="636" spans="1:9">
      <c r="A636" s="177">
        <v>45108</v>
      </c>
      <c r="B636" t="s">
        <v>554</v>
      </c>
      <c r="C636" t="s">
        <v>375</v>
      </c>
      <c r="D636" s="684">
        <v>2</v>
      </c>
      <c r="E636" s="684">
        <v>1</v>
      </c>
      <c r="F636" t="s">
        <v>20</v>
      </c>
      <c r="G636" s="684">
        <v>1.0629</v>
      </c>
      <c r="H636" s="684">
        <v>53.66</v>
      </c>
      <c r="I636" t="s">
        <v>691</v>
      </c>
    </row>
    <row r="637" spans="1:9">
      <c r="A637" s="177">
        <v>45108</v>
      </c>
      <c r="B637" t="s">
        <v>554</v>
      </c>
      <c r="C637" t="s">
        <v>375</v>
      </c>
      <c r="D637" s="684">
        <v>2</v>
      </c>
      <c r="E637" s="684">
        <v>1</v>
      </c>
      <c r="F637" t="s">
        <v>21</v>
      </c>
      <c r="G637" s="684">
        <v>1</v>
      </c>
      <c r="H637" s="684">
        <v>50.48</v>
      </c>
      <c r="I637" t="s">
        <v>691</v>
      </c>
    </row>
    <row r="638" spans="1:9">
      <c r="A638" s="177">
        <v>45108</v>
      </c>
      <c r="B638" t="s">
        <v>555</v>
      </c>
      <c r="C638" t="s">
        <v>375</v>
      </c>
      <c r="D638" s="684">
        <v>2</v>
      </c>
      <c r="E638" s="684">
        <v>2</v>
      </c>
      <c r="F638" t="s">
        <v>16</v>
      </c>
      <c r="G638" s="684">
        <v>1</v>
      </c>
      <c r="H638" s="684">
        <v>53.12</v>
      </c>
      <c r="I638" t="s">
        <v>691</v>
      </c>
    </row>
    <row r="639" spans="1:9">
      <c r="A639" s="177">
        <v>45108</v>
      </c>
      <c r="B639" t="s">
        <v>555</v>
      </c>
      <c r="C639" t="s">
        <v>375</v>
      </c>
      <c r="D639" s="684">
        <v>2</v>
      </c>
      <c r="E639" s="684">
        <v>2</v>
      </c>
      <c r="F639" t="s">
        <v>17</v>
      </c>
      <c r="G639" s="684">
        <v>1.0789</v>
      </c>
      <c r="H639" s="684">
        <v>57.31</v>
      </c>
      <c r="I639" t="s">
        <v>691</v>
      </c>
    </row>
    <row r="640" spans="1:9">
      <c r="A640" s="177">
        <v>45108</v>
      </c>
      <c r="B640" t="s">
        <v>555</v>
      </c>
      <c r="C640" t="s">
        <v>375</v>
      </c>
      <c r="D640" s="684">
        <v>2</v>
      </c>
      <c r="E640" s="684">
        <v>2</v>
      </c>
      <c r="F640" t="s">
        <v>18</v>
      </c>
      <c r="G640" s="684">
        <v>1</v>
      </c>
      <c r="H640" s="684">
        <v>53.12</v>
      </c>
      <c r="I640" t="s">
        <v>691</v>
      </c>
    </row>
    <row r="641" spans="1:9">
      <c r="A641" s="177">
        <v>45108</v>
      </c>
      <c r="B641" t="s">
        <v>555</v>
      </c>
      <c r="C641" t="s">
        <v>375</v>
      </c>
      <c r="D641" s="684">
        <v>2</v>
      </c>
      <c r="E641" s="684">
        <v>2</v>
      </c>
      <c r="F641" t="s">
        <v>19</v>
      </c>
      <c r="G641" s="684">
        <v>1</v>
      </c>
      <c r="H641" s="684">
        <v>53.12</v>
      </c>
      <c r="I641" t="s">
        <v>691</v>
      </c>
    </row>
    <row r="642" spans="1:9">
      <c r="A642" s="177">
        <v>45108</v>
      </c>
      <c r="B642" t="s">
        <v>555</v>
      </c>
      <c r="C642" t="s">
        <v>375</v>
      </c>
      <c r="D642" s="684">
        <v>2</v>
      </c>
      <c r="E642" s="684">
        <v>2</v>
      </c>
      <c r="F642" t="s">
        <v>20</v>
      </c>
      <c r="G642" s="684">
        <v>1.0629</v>
      </c>
      <c r="H642" s="684">
        <v>56.46</v>
      </c>
      <c r="I642" t="s">
        <v>691</v>
      </c>
    </row>
    <row r="643" spans="1:9">
      <c r="A643" s="177">
        <v>45108</v>
      </c>
      <c r="B643" t="s">
        <v>555</v>
      </c>
      <c r="C643" t="s">
        <v>375</v>
      </c>
      <c r="D643" s="684">
        <v>2</v>
      </c>
      <c r="E643" s="684">
        <v>2</v>
      </c>
      <c r="F643" t="s">
        <v>21</v>
      </c>
      <c r="G643" s="684">
        <v>1</v>
      </c>
      <c r="H643" s="684">
        <v>53.12</v>
      </c>
      <c r="I643" t="s">
        <v>691</v>
      </c>
    </row>
    <row r="644" spans="1:9">
      <c r="A644" s="177">
        <v>45108</v>
      </c>
      <c r="B644" t="s">
        <v>556</v>
      </c>
      <c r="C644" t="s">
        <v>375</v>
      </c>
      <c r="D644" s="684">
        <v>2</v>
      </c>
      <c r="E644" s="684">
        <v>3</v>
      </c>
      <c r="F644" t="s">
        <v>16</v>
      </c>
      <c r="G644" s="684">
        <v>1</v>
      </c>
      <c r="H644" s="684">
        <v>57.38</v>
      </c>
      <c r="I644" t="s">
        <v>691</v>
      </c>
    </row>
    <row r="645" spans="1:9">
      <c r="A645" s="177">
        <v>45108</v>
      </c>
      <c r="B645" t="s">
        <v>556</v>
      </c>
      <c r="C645" t="s">
        <v>375</v>
      </c>
      <c r="D645" s="684">
        <v>2</v>
      </c>
      <c r="E645" s="684">
        <v>3</v>
      </c>
      <c r="F645" t="s">
        <v>17</v>
      </c>
      <c r="G645" s="684">
        <v>1.0789</v>
      </c>
      <c r="H645" s="684">
        <v>61.91</v>
      </c>
      <c r="I645" t="s">
        <v>691</v>
      </c>
    </row>
    <row r="646" spans="1:9">
      <c r="A646" s="177">
        <v>45108</v>
      </c>
      <c r="B646" t="s">
        <v>556</v>
      </c>
      <c r="C646" t="s">
        <v>375</v>
      </c>
      <c r="D646" s="684">
        <v>2</v>
      </c>
      <c r="E646" s="684">
        <v>3</v>
      </c>
      <c r="F646" t="s">
        <v>18</v>
      </c>
      <c r="G646" s="684">
        <v>1</v>
      </c>
      <c r="H646" s="684">
        <v>57.38</v>
      </c>
      <c r="I646" t="s">
        <v>691</v>
      </c>
    </row>
    <row r="647" spans="1:9">
      <c r="A647" s="177">
        <v>45108</v>
      </c>
      <c r="B647" t="s">
        <v>556</v>
      </c>
      <c r="C647" t="s">
        <v>375</v>
      </c>
      <c r="D647" s="684">
        <v>2</v>
      </c>
      <c r="E647" s="684">
        <v>3</v>
      </c>
      <c r="F647" t="s">
        <v>19</v>
      </c>
      <c r="G647" s="684">
        <v>1</v>
      </c>
      <c r="H647" s="684">
        <v>57.38</v>
      </c>
      <c r="I647" t="s">
        <v>691</v>
      </c>
    </row>
    <row r="648" spans="1:9">
      <c r="A648" s="177">
        <v>45108</v>
      </c>
      <c r="B648" t="s">
        <v>556</v>
      </c>
      <c r="C648" t="s">
        <v>375</v>
      </c>
      <c r="D648" s="684">
        <v>2</v>
      </c>
      <c r="E648" s="684">
        <v>3</v>
      </c>
      <c r="F648" t="s">
        <v>20</v>
      </c>
      <c r="G648" s="684">
        <v>1.0629</v>
      </c>
      <c r="H648" s="684">
        <v>60.99</v>
      </c>
      <c r="I648" t="s">
        <v>691</v>
      </c>
    </row>
    <row r="649" spans="1:9">
      <c r="A649" s="177">
        <v>45108</v>
      </c>
      <c r="B649" t="s">
        <v>556</v>
      </c>
      <c r="C649" t="s">
        <v>375</v>
      </c>
      <c r="D649" s="684">
        <v>2</v>
      </c>
      <c r="E649" s="684">
        <v>3</v>
      </c>
      <c r="F649" t="s">
        <v>21</v>
      </c>
      <c r="G649" s="684">
        <v>1</v>
      </c>
      <c r="H649" s="684">
        <v>57.38</v>
      </c>
      <c r="I649" t="s">
        <v>691</v>
      </c>
    </row>
    <row r="650" spans="1:9">
      <c r="A650" s="177">
        <v>45108</v>
      </c>
      <c r="B650" t="s">
        <v>557</v>
      </c>
      <c r="C650" t="s">
        <v>375</v>
      </c>
      <c r="D650" s="684">
        <v>2</v>
      </c>
      <c r="E650" s="684">
        <v>4</v>
      </c>
      <c r="F650" t="s">
        <v>16</v>
      </c>
      <c r="G650" s="684">
        <v>1</v>
      </c>
      <c r="H650" s="684">
        <v>63.15</v>
      </c>
      <c r="I650" t="s">
        <v>691</v>
      </c>
    </row>
    <row r="651" spans="1:9">
      <c r="A651" s="177">
        <v>45108</v>
      </c>
      <c r="B651" t="s">
        <v>557</v>
      </c>
      <c r="C651" t="s">
        <v>375</v>
      </c>
      <c r="D651" s="684">
        <v>2</v>
      </c>
      <c r="E651" s="684">
        <v>4</v>
      </c>
      <c r="F651" t="s">
        <v>17</v>
      </c>
      <c r="G651" s="684">
        <v>1.0789</v>
      </c>
      <c r="H651" s="684">
        <v>68.13</v>
      </c>
      <c r="I651" t="s">
        <v>691</v>
      </c>
    </row>
    <row r="652" spans="1:9">
      <c r="A652" s="177">
        <v>45108</v>
      </c>
      <c r="B652" t="s">
        <v>557</v>
      </c>
      <c r="C652" t="s">
        <v>375</v>
      </c>
      <c r="D652" s="684">
        <v>2</v>
      </c>
      <c r="E652" s="684">
        <v>4</v>
      </c>
      <c r="F652" t="s">
        <v>18</v>
      </c>
      <c r="G652" s="684">
        <v>1</v>
      </c>
      <c r="H652" s="684">
        <v>63.15</v>
      </c>
      <c r="I652" t="s">
        <v>691</v>
      </c>
    </row>
    <row r="653" spans="1:9">
      <c r="A653" s="177">
        <v>45108</v>
      </c>
      <c r="B653" t="s">
        <v>557</v>
      </c>
      <c r="C653" t="s">
        <v>375</v>
      </c>
      <c r="D653" s="684">
        <v>2</v>
      </c>
      <c r="E653" s="684">
        <v>4</v>
      </c>
      <c r="F653" t="s">
        <v>19</v>
      </c>
      <c r="G653" s="684">
        <v>1</v>
      </c>
      <c r="H653" s="684">
        <v>63.15</v>
      </c>
      <c r="I653" t="s">
        <v>691</v>
      </c>
    </row>
    <row r="654" spans="1:9">
      <c r="A654" s="177">
        <v>45108</v>
      </c>
      <c r="B654" t="s">
        <v>557</v>
      </c>
      <c r="C654" t="s">
        <v>375</v>
      </c>
      <c r="D654" s="684">
        <v>2</v>
      </c>
      <c r="E654" s="684">
        <v>4</v>
      </c>
      <c r="F654" t="s">
        <v>20</v>
      </c>
      <c r="G654" s="684">
        <v>1.0629</v>
      </c>
      <c r="H654" s="684">
        <v>67.12</v>
      </c>
      <c r="I654" t="s">
        <v>691</v>
      </c>
    </row>
    <row r="655" spans="1:9">
      <c r="A655" s="177">
        <v>45108</v>
      </c>
      <c r="B655" t="s">
        <v>557</v>
      </c>
      <c r="C655" t="s">
        <v>375</v>
      </c>
      <c r="D655" s="684">
        <v>2</v>
      </c>
      <c r="E655" s="684">
        <v>4</v>
      </c>
      <c r="F655" t="s">
        <v>21</v>
      </c>
      <c r="G655" s="684">
        <v>1</v>
      </c>
      <c r="H655" s="684">
        <v>63.15</v>
      </c>
      <c r="I655" t="s">
        <v>691</v>
      </c>
    </row>
    <row r="656" spans="1:9">
      <c r="A656" s="177">
        <v>45108</v>
      </c>
      <c r="B656" t="s">
        <v>558</v>
      </c>
      <c r="C656" t="s">
        <v>375</v>
      </c>
      <c r="D656" s="684">
        <v>2</v>
      </c>
      <c r="E656" s="684">
        <v>5</v>
      </c>
      <c r="F656" t="s">
        <v>16</v>
      </c>
      <c r="G656" s="684">
        <v>1</v>
      </c>
      <c r="H656" s="684">
        <v>68.2</v>
      </c>
      <c r="I656" t="s">
        <v>691</v>
      </c>
    </row>
    <row r="657" spans="1:9">
      <c r="A657" s="177">
        <v>45108</v>
      </c>
      <c r="B657" t="s">
        <v>558</v>
      </c>
      <c r="C657" t="s">
        <v>375</v>
      </c>
      <c r="D657" s="684">
        <v>2</v>
      </c>
      <c r="E657" s="684">
        <v>5</v>
      </c>
      <c r="F657" t="s">
        <v>17</v>
      </c>
      <c r="G657" s="684">
        <v>1.0789</v>
      </c>
      <c r="H657" s="684">
        <v>73.58</v>
      </c>
      <c r="I657" t="s">
        <v>691</v>
      </c>
    </row>
    <row r="658" spans="1:9">
      <c r="A658" s="177">
        <v>45108</v>
      </c>
      <c r="B658" t="s">
        <v>558</v>
      </c>
      <c r="C658" t="s">
        <v>375</v>
      </c>
      <c r="D658" s="684">
        <v>2</v>
      </c>
      <c r="E658" s="684">
        <v>5</v>
      </c>
      <c r="F658" t="s">
        <v>18</v>
      </c>
      <c r="G658" s="684">
        <v>1</v>
      </c>
      <c r="H658" s="684">
        <v>68.2</v>
      </c>
      <c r="I658" t="s">
        <v>691</v>
      </c>
    </row>
    <row r="659" spans="1:9">
      <c r="A659" s="177">
        <v>45108</v>
      </c>
      <c r="B659" t="s">
        <v>558</v>
      </c>
      <c r="C659" t="s">
        <v>375</v>
      </c>
      <c r="D659" s="684">
        <v>2</v>
      </c>
      <c r="E659" s="684">
        <v>5</v>
      </c>
      <c r="F659" t="s">
        <v>19</v>
      </c>
      <c r="G659" s="684">
        <v>1</v>
      </c>
      <c r="H659" s="684">
        <v>68.2</v>
      </c>
      <c r="I659" t="s">
        <v>691</v>
      </c>
    </row>
    <row r="660" spans="1:9">
      <c r="A660" s="177">
        <v>45108</v>
      </c>
      <c r="B660" t="s">
        <v>558</v>
      </c>
      <c r="C660" t="s">
        <v>375</v>
      </c>
      <c r="D660" s="684">
        <v>2</v>
      </c>
      <c r="E660" s="684">
        <v>5</v>
      </c>
      <c r="F660" t="s">
        <v>20</v>
      </c>
      <c r="G660" s="684">
        <v>1.0629</v>
      </c>
      <c r="H660" s="684">
        <v>72.489999999999995</v>
      </c>
      <c r="I660" t="s">
        <v>691</v>
      </c>
    </row>
    <row r="661" spans="1:9">
      <c r="A661" s="177">
        <v>45108</v>
      </c>
      <c r="B661" t="s">
        <v>558</v>
      </c>
      <c r="C661" t="s">
        <v>375</v>
      </c>
      <c r="D661" s="684">
        <v>2</v>
      </c>
      <c r="E661" s="684">
        <v>5</v>
      </c>
      <c r="F661" t="s">
        <v>21</v>
      </c>
      <c r="G661" s="684">
        <v>1</v>
      </c>
      <c r="H661" s="684">
        <v>68.2</v>
      </c>
      <c r="I661" t="s">
        <v>691</v>
      </c>
    </row>
    <row r="662" spans="1:9">
      <c r="A662" s="177">
        <v>45108</v>
      </c>
      <c r="B662" t="s">
        <v>559</v>
      </c>
      <c r="C662" t="s">
        <v>375</v>
      </c>
      <c r="D662" s="684">
        <v>3</v>
      </c>
      <c r="E662" s="684">
        <v>1</v>
      </c>
      <c r="F662" t="s">
        <v>16</v>
      </c>
      <c r="G662" s="684">
        <v>1</v>
      </c>
      <c r="H662" s="684">
        <v>86.05</v>
      </c>
      <c r="I662" t="s">
        <v>691</v>
      </c>
    </row>
    <row r="663" spans="1:9">
      <c r="A663" s="177">
        <v>45108</v>
      </c>
      <c r="B663" t="s">
        <v>559</v>
      </c>
      <c r="C663" t="s">
        <v>375</v>
      </c>
      <c r="D663" s="684">
        <v>3</v>
      </c>
      <c r="E663" s="684">
        <v>1</v>
      </c>
      <c r="F663" t="s">
        <v>17</v>
      </c>
      <c r="G663" s="684">
        <v>1.0789</v>
      </c>
      <c r="H663" s="684">
        <v>92.84</v>
      </c>
      <c r="I663" t="s">
        <v>691</v>
      </c>
    </row>
    <row r="664" spans="1:9">
      <c r="A664" s="177">
        <v>45108</v>
      </c>
      <c r="B664" t="s">
        <v>559</v>
      </c>
      <c r="C664" t="s">
        <v>375</v>
      </c>
      <c r="D664" s="684">
        <v>3</v>
      </c>
      <c r="E664" s="684">
        <v>1</v>
      </c>
      <c r="F664" t="s">
        <v>18</v>
      </c>
      <c r="G664" s="684">
        <v>1</v>
      </c>
      <c r="H664" s="684">
        <v>86.05</v>
      </c>
      <c r="I664" t="s">
        <v>691</v>
      </c>
    </row>
    <row r="665" spans="1:9">
      <c r="A665" s="177">
        <v>45108</v>
      </c>
      <c r="B665" t="s">
        <v>559</v>
      </c>
      <c r="C665" t="s">
        <v>375</v>
      </c>
      <c r="D665" s="684">
        <v>3</v>
      </c>
      <c r="E665" s="684">
        <v>1</v>
      </c>
      <c r="F665" t="s">
        <v>19</v>
      </c>
      <c r="G665" s="684">
        <v>1</v>
      </c>
      <c r="H665" s="684">
        <v>86.05</v>
      </c>
      <c r="I665" t="s">
        <v>691</v>
      </c>
    </row>
    <row r="666" spans="1:9">
      <c r="A666" s="177">
        <v>45108</v>
      </c>
      <c r="B666" t="s">
        <v>559</v>
      </c>
      <c r="C666" t="s">
        <v>375</v>
      </c>
      <c r="D666" s="684">
        <v>3</v>
      </c>
      <c r="E666" s="684">
        <v>1</v>
      </c>
      <c r="F666" t="s">
        <v>20</v>
      </c>
      <c r="G666" s="684">
        <v>1.0629</v>
      </c>
      <c r="H666" s="684">
        <v>91.46</v>
      </c>
      <c r="I666" t="s">
        <v>691</v>
      </c>
    </row>
    <row r="667" spans="1:9">
      <c r="A667" s="177">
        <v>45108</v>
      </c>
      <c r="B667" t="s">
        <v>559</v>
      </c>
      <c r="C667" t="s">
        <v>375</v>
      </c>
      <c r="D667" s="684">
        <v>3</v>
      </c>
      <c r="E667" s="684">
        <v>1</v>
      </c>
      <c r="F667" t="s">
        <v>21</v>
      </c>
      <c r="G667" s="684">
        <v>1</v>
      </c>
      <c r="H667" s="684">
        <v>86.05</v>
      </c>
      <c r="I667" t="s">
        <v>691</v>
      </c>
    </row>
    <row r="668" spans="1:9">
      <c r="A668" s="177">
        <v>45108</v>
      </c>
      <c r="B668" t="s">
        <v>560</v>
      </c>
      <c r="C668" t="s">
        <v>375</v>
      </c>
      <c r="D668" s="684">
        <v>3</v>
      </c>
      <c r="E668" s="684">
        <v>2</v>
      </c>
      <c r="F668" t="s">
        <v>16</v>
      </c>
      <c r="G668" s="684">
        <v>1</v>
      </c>
      <c r="H668" s="684">
        <v>88.72</v>
      </c>
      <c r="I668" t="s">
        <v>691</v>
      </c>
    </row>
    <row r="669" spans="1:9">
      <c r="A669" s="177">
        <v>45108</v>
      </c>
      <c r="B669" t="s">
        <v>560</v>
      </c>
      <c r="C669" t="s">
        <v>375</v>
      </c>
      <c r="D669" s="684">
        <v>3</v>
      </c>
      <c r="E669" s="684">
        <v>2</v>
      </c>
      <c r="F669" t="s">
        <v>17</v>
      </c>
      <c r="G669" s="684">
        <v>1.0789</v>
      </c>
      <c r="H669" s="684">
        <v>95.72</v>
      </c>
      <c r="I669" t="s">
        <v>691</v>
      </c>
    </row>
    <row r="670" spans="1:9">
      <c r="A670" s="177">
        <v>45108</v>
      </c>
      <c r="B670" t="s">
        <v>560</v>
      </c>
      <c r="C670" t="s">
        <v>375</v>
      </c>
      <c r="D670" s="684">
        <v>3</v>
      </c>
      <c r="E670" s="684">
        <v>2</v>
      </c>
      <c r="F670" t="s">
        <v>18</v>
      </c>
      <c r="G670" s="684">
        <v>1</v>
      </c>
      <c r="H670" s="684">
        <v>88.72</v>
      </c>
      <c r="I670" t="s">
        <v>691</v>
      </c>
    </row>
    <row r="671" spans="1:9">
      <c r="A671" s="177">
        <v>45108</v>
      </c>
      <c r="B671" t="s">
        <v>560</v>
      </c>
      <c r="C671" t="s">
        <v>375</v>
      </c>
      <c r="D671" s="684">
        <v>3</v>
      </c>
      <c r="E671" s="684">
        <v>2</v>
      </c>
      <c r="F671" t="s">
        <v>19</v>
      </c>
      <c r="G671" s="684">
        <v>1</v>
      </c>
      <c r="H671" s="684">
        <v>88.72</v>
      </c>
      <c r="I671" t="s">
        <v>691</v>
      </c>
    </row>
    <row r="672" spans="1:9">
      <c r="A672" s="177">
        <v>45108</v>
      </c>
      <c r="B672" t="s">
        <v>560</v>
      </c>
      <c r="C672" t="s">
        <v>375</v>
      </c>
      <c r="D672" s="684">
        <v>3</v>
      </c>
      <c r="E672" s="684">
        <v>2</v>
      </c>
      <c r="F672" t="s">
        <v>20</v>
      </c>
      <c r="G672" s="684">
        <v>1.0629</v>
      </c>
      <c r="H672" s="684">
        <v>94.3</v>
      </c>
      <c r="I672" t="s">
        <v>691</v>
      </c>
    </row>
    <row r="673" spans="1:9">
      <c r="A673" s="177">
        <v>45108</v>
      </c>
      <c r="B673" t="s">
        <v>560</v>
      </c>
      <c r="C673" t="s">
        <v>375</v>
      </c>
      <c r="D673" s="684">
        <v>3</v>
      </c>
      <c r="E673" s="684">
        <v>2</v>
      </c>
      <c r="F673" t="s">
        <v>21</v>
      </c>
      <c r="G673" s="684">
        <v>1</v>
      </c>
      <c r="H673" s="684">
        <v>88.72</v>
      </c>
      <c r="I673" t="s">
        <v>691</v>
      </c>
    </row>
    <row r="674" spans="1:9">
      <c r="A674" s="177">
        <v>45108</v>
      </c>
      <c r="B674" t="s">
        <v>561</v>
      </c>
      <c r="C674" t="s">
        <v>375</v>
      </c>
      <c r="D674" s="684">
        <v>3</v>
      </c>
      <c r="E674" s="684">
        <v>3</v>
      </c>
      <c r="F674" t="s">
        <v>16</v>
      </c>
      <c r="G674" s="684">
        <v>1</v>
      </c>
      <c r="H674" s="684">
        <v>92.93</v>
      </c>
      <c r="I674" t="s">
        <v>691</v>
      </c>
    </row>
    <row r="675" spans="1:9">
      <c r="A675" s="177">
        <v>45108</v>
      </c>
      <c r="B675" t="s">
        <v>561</v>
      </c>
      <c r="C675" t="s">
        <v>375</v>
      </c>
      <c r="D675" s="684">
        <v>3</v>
      </c>
      <c r="E675" s="684">
        <v>3</v>
      </c>
      <c r="F675" t="s">
        <v>17</v>
      </c>
      <c r="G675" s="684">
        <v>1.0789</v>
      </c>
      <c r="H675" s="684">
        <v>100.26</v>
      </c>
      <c r="I675" t="s">
        <v>691</v>
      </c>
    </row>
    <row r="676" spans="1:9">
      <c r="A676" s="177">
        <v>45108</v>
      </c>
      <c r="B676" t="s">
        <v>561</v>
      </c>
      <c r="C676" t="s">
        <v>375</v>
      </c>
      <c r="D676" s="684">
        <v>3</v>
      </c>
      <c r="E676" s="684">
        <v>3</v>
      </c>
      <c r="F676" t="s">
        <v>18</v>
      </c>
      <c r="G676" s="684">
        <v>1</v>
      </c>
      <c r="H676" s="684">
        <v>92.93</v>
      </c>
      <c r="I676" t="s">
        <v>691</v>
      </c>
    </row>
    <row r="677" spans="1:9">
      <c r="A677" s="177">
        <v>45108</v>
      </c>
      <c r="B677" t="s">
        <v>561</v>
      </c>
      <c r="C677" t="s">
        <v>375</v>
      </c>
      <c r="D677" s="684">
        <v>3</v>
      </c>
      <c r="E677" s="684">
        <v>3</v>
      </c>
      <c r="F677" t="s">
        <v>19</v>
      </c>
      <c r="G677" s="684">
        <v>1</v>
      </c>
      <c r="H677" s="684">
        <v>92.93</v>
      </c>
      <c r="I677" t="s">
        <v>691</v>
      </c>
    </row>
    <row r="678" spans="1:9">
      <c r="A678" s="177">
        <v>45108</v>
      </c>
      <c r="B678" t="s">
        <v>561</v>
      </c>
      <c r="C678" t="s">
        <v>375</v>
      </c>
      <c r="D678" s="684">
        <v>3</v>
      </c>
      <c r="E678" s="684">
        <v>3</v>
      </c>
      <c r="F678" t="s">
        <v>20</v>
      </c>
      <c r="G678" s="684">
        <v>1.0629</v>
      </c>
      <c r="H678" s="684">
        <v>98.78</v>
      </c>
      <c r="I678" t="s">
        <v>691</v>
      </c>
    </row>
    <row r="679" spans="1:9">
      <c r="A679" s="177">
        <v>45108</v>
      </c>
      <c r="B679" t="s">
        <v>561</v>
      </c>
      <c r="C679" t="s">
        <v>375</v>
      </c>
      <c r="D679" s="684">
        <v>3</v>
      </c>
      <c r="E679" s="684">
        <v>3</v>
      </c>
      <c r="F679" t="s">
        <v>21</v>
      </c>
      <c r="G679" s="684">
        <v>1</v>
      </c>
      <c r="H679" s="684">
        <v>92.93</v>
      </c>
      <c r="I679" t="s">
        <v>691</v>
      </c>
    </row>
    <row r="680" spans="1:9">
      <c r="A680" s="177">
        <v>45108</v>
      </c>
      <c r="B680" t="s">
        <v>562</v>
      </c>
      <c r="C680" t="s">
        <v>375</v>
      </c>
      <c r="D680" s="684">
        <v>3</v>
      </c>
      <c r="E680" s="684">
        <v>4</v>
      </c>
      <c r="F680" t="s">
        <v>16</v>
      </c>
      <c r="G680" s="684">
        <v>1</v>
      </c>
      <c r="H680" s="684">
        <v>98.69</v>
      </c>
      <c r="I680" t="s">
        <v>691</v>
      </c>
    </row>
    <row r="681" spans="1:9">
      <c r="A681" s="177">
        <v>45108</v>
      </c>
      <c r="B681" t="s">
        <v>562</v>
      </c>
      <c r="C681" t="s">
        <v>375</v>
      </c>
      <c r="D681" s="684">
        <v>3</v>
      </c>
      <c r="E681" s="684">
        <v>4</v>
      </c>
      <c r="F681" t="s">
        <v>17</v>
      </c>
      <c r="G681" s="684">
        <v>1.0789</v>
      </c>
      <c r="H681" s="684">
        <v>106.48</v>
      </c>
      <c r="I681" t="s">
        <v>691</v>
      </c>
    </row>
    <row r="682" spans="1:9">
      <c r="A682" s="177">
        <v>45108</v>
      </c>
      <c r="B682" t="s">
        <v>562</v>
      </c>
      <c r="C682" t="s">
        <v>375</v>
      </c>
      <c r="D682" s="684">
        <v>3</v>
      </c>
      <c r="E682" s="684">
        <v>4</v>
      </c>
      <c r="F682" t="s">
        <v>18</v>
      </c>
      <c r="G682" s="684">
        <v>1</v>
      </c>
      <c r="H682" s="684">
        <v>98.69</v>
      </c>
      <c r="I682" t="s">
        <v>691</v>
      </c>
    </row>
    <row r="683" spans="1:9">
      <c r="A683" s="177">
        <v>45108</v>
      </c>
      <c r="B683" t="s">
        <v>562</v>
      </c>
      <c r="C683" t="s">
        <v>375</v>
      </c>
      <c r="D683" s="684">
        <v>3</v>
      </c>
      <c r="E683" s="684">
        <v>4</v>
      </c>
      <c r="F683" t="s">
        <v>19</v>
      </c>
      <c r="G683" s="684">
        <v>1</v>
      </c>
      <c r="H683" s="684">
        <v>98.69</v>
      </c>
      <c r="I683" t="s">
        <v>691</v>
      </c>
    </row>
    <row r="684" spans="1:9">
      <c r="A684" s="177">
        <v>45108</v>
      </c>
      <c r="B684" t="s">
        <v>562</v>
      </c>
      <c r="C684" t="s">
        <v>375</v>
      </c>
      <c r="D684" s="684">
        <v>3</v>
      </c>
      <c r="E684" s="684">
        <v>4</v>
      </c>
      <c r="F684" t="s">
        <v>20</v>
      </c>
      <c r="G684" s="684">
        <v>1.0629</v>
      </c>
      <c r="H684" s="684">
        <v>104.9</v>
      </c>
      <c r="I684" t="s">
        <v>691</v>
      </c>
    </row>
    <row r="685" spans="1:9">
      <c r="A685" s="177">
        <v>45108</v>
      </c>
      <c r="B685" t="s">
        <v>562</v>
      </c>
      <c r="C685" t="s">
        <v>375</v>
      </c>
      <c r="D685" s="684">
        <v>3</v>
      </c>
      <c r="E685" s="684">
        <v>4</v>
      </c>
      <c r="F685" t="s">
        <v>21</v>
      </c>
      <c r="G685" s="684">
        <v>1</v>
      </c>
      <c r="H685" s="684">
        <v>98.69</v>
      </c>
      <c r="I685" t="s">
        <v>691</v>
      </c>
    </row>
    <row r="686" spans="1:9">
      <c r="A686" s="177">
        <v>45108</v>
      </c>
      <c r="B686" t="s">
        <v>563</v>
      </c>
      <c r="C686" t="s">
        <v>375</v>
      </c>
      <c r="D686" s="684">
        <v>3</v>
      </c>
      <c r="E686" s="684">
        <v>5</v>
      </c>
      <c r="F686" t="s">
        <v>16</v>
      </c>
      <c r="G686" s="684">
        <v>1</v>
      </c>
      <c r="H686" s="684">
        <v>103.79</v>
      </c>
      <c r="I686" t="s">
        <v>691</v>
      </c>
    </row>
    <row r="687" spans="1:9">
      <c r="A687" s="177">
        <v>45108</v>
      </c>
      <c r="B687" t="s">
        <v>563</v>
      </c>
      <c r="C687" t="s">
        <v>375</v>
      </c>
      <c r="D687" s="684">
        <v>3</v>
      </c>
      <c r="E687" s="684">
        <v>5</v>
      </c>
      <c r="F687" t="s">
        <v>17</v>
      </c>
      <c r="G687" s="684">
        <v>1.0789</v>
      </c>
      <c r="H687" s="684">
        <v>111.98</v>
      </c>
      <c r="I687" t="s">
        <v>691</v>
      </c>
    </row>
    <row r="688" spans="1:9">
      <c r="A688" s="177">
        <v>45108</v>
      </c>
      <c r="B688" t="s">
        <v>563</v>
      </c>
      <c r="C688" t="s">
        <v>375</v>
      </c>
      <c r="D688" s="684">
        <v>3</v>
      </c>
      <c r="E688" s="684">
        <v>5</v>
      </c>
      <c r="F688" t="s">
        <v>18</v>
      </c>
      <c r="G688" s="684">
        <v>1</v>
      </c>
      <c r="H688" s="684">
        <v>103.79</v>
      </c>
      <c r="I688" t="s">
        <v>691</v>
      </c>
    </row>
    <row r="689" spans="1:9">
      <c r="A689" s="177">
        <v>45108</v>
      </c>
      <c r="B689" t="s">
        <v>563</v>
      </c>
      <c r="C689" t="s">
        <v>375</v>
      </c>
      <c r="D689" s="684">
        <v>3</v>
      </c>
      <c r="E689" s="684">
        <v>5</v>
      </c>
      <c r="F689" t="s">
        <v>19</v>
      </c>
      <c r="G689" s="684">
        <v>1</v>
      </c>
      <c r="H689" s="684">
        <v>103.79</v>
      </c>
      <c r="I689" t="s">
        <v>691</v>
      </c>
    </row>
    <row r="690" spans="1:9">
      <c r="A690" s="177">
        <v>45108</v>
      </c>
      <c r="B690" t="s">
        <v>563</v>
      </c>
      <c r="C690" t="s">
        <v>375</v>
      </c>
      <c r="D690" s="684">
        <v>3</v>
      </c>
      <c r="E690" s="684">
        <v>5</v>
      </c>
      <c r="F690" t="s">
        <v>20</v>
      </c>
      <c r="G690" s="684">
        <v>1.0629</v>
      </c>
      <c r="H690" s="684">
        <v>110.32</v>
      </c>
      <c r="I690" t="s">
        <v>691</v>
      </c>
    </row>
    <row r="691" spans="1:9">
      <c r="A691" s="177">
        <v>45108</v>
      </c>
      <c r="B691" t="s">
        <v>563</v>
      </c>
      <c r="C691" t="s">
        <v>375</v>
      </c>
      <c r="D691" s="684">
        <v>3</v>
      </c>
      <c r="E691" s="684">
        <v>5</v>
      </c>
      <c r="F691" t="s">
        <v>21</v>
      </c>
      <c r="G691" s="684">
        <v>1</v>
      </c>
      <c r="H691" s="684">
        <v>103.79</v>
      </c>
      <c r="I691" t="s">
        <v>691</v>
      </c>
    </row>
    <row r="692" spans="1:9">
      <c r="A692" s="177">
        <v>45108</v>
      </c>
      <c r="B692" t="s">
        <v>564</v>
      </c>
      <c r="C692" t="s">
        <v>375</v>
      </c>
      <c r="D692" s="684">
        <v>4</v>
      </c>
      <c r="E692" s="684">
        <v>1</v>
      </c>
      <c r="F692" t="s">
        <v>16</v>
      </c>
      <c r="G692" s="684">
        <v>1</v>
      </c>
      <c r="H692" s="684">
        <v>139.38999999999999</v>
      </c>
      <c r="I692" t="s">
        <v>691</v>
      </c>
    </row>
    <row r="693" spans="1:9">
      <c r="A693" s="177">
        <v>45108</v>
      </c>
      <c r="B693" t="s">
        <v>564</v>
      </c>
      <c r="C693" t="s">
        <v>375</v>
      </c>
      <c r="D693" s="684">
        <v>4</v>
      </c>
      <c r="E693" s="684">
        <v>1</v>
      </c>
      <c r="F693" t="s">
        <v>17</v>
      </c>
      <c r="G693" s="684">
        <v>1.0789</v>
      </c>
      <c r="H693" s="684">
        <v>150.38999999999999</v>
      </c>
      <c r="I693" t="s">
        <v>691</v>
      </c>
    </row>
    <row r="694" spans="1:9">
      <c r="A694" s="177">
        <v>45108</v>
      </c>
      <c r="B694" t="s">
        <v>564</v>
      </c>
      <c r="C694" t="s">
        <v>375</v>
      </c>
      <c r="D694" s="684">
        <v>4</v>
      </c>
      <c r="E694" s="684">
        <v>1</v>
      </c>
      <c r="F694" t="s">
        <v>18</v>
      </c>
      <c r="G694" s="684">
        <v>1</v>
      </c>
      <c r="H694" s="684">
        <v>139.38999999999999</v>
      </c>
      <c r="I694" t="s">
        <v>691</v>
      </c>
    </row>
    <row r="695" spans="1:9">
      <c r="A695" s="177">
        <v>45108</v>
      </c>
      <c r="B695" t="s">
        <v>564</v>
      </c>
      <c r="C695" t="s">
        <v>375</v>
      </c>
      <c r="D695" s="684">
        <v>4</v>
      </c>
      <c r="E695" s="684">
        <v>1</v>
      </c>
      <c r="F695" t="s">
        <v>19</v>
      </c>
      <c r="G695" s="684">
        <v>1</v>
      </c>
      <c r="H695" s="684">
        <v>139.38999999999999</v>
      </c>
      <c r="I695" t="s">
        <v>691</v>
      </c>
    </row>
    <row r="696" spans="1:9">
      <c r="A696" s="177">
        <v>45108</v>
      </c>
      <c r="B696" t="s">
        <v>564</v>
      </c>
      <c r="C696" t="s">
        <v>375</v>
      </c>
      <c r="D696" s="684">
        <v>4</v>
      </c>
      <c r="E696" s="684">
        <v>1</v>
      </c>
      <c r="F696" t="s">
        <v>20</v>
      </c>
      <c r="G696" s="684">
        <v>1.0629</v>
      </c>
      <c r="H696" s="684">
        <v>148.16</v>
      </c>
      <c r="I696" t="s">
        <v>691</v>
      </c>
    </row>
    <row r="697" spans="1:9">
      <c r="A697" s="177">
        <v>45108</v>
      </c>
      <c r="B697" t="s">
        <v>564</v>
      </c>
      <c r="C697" t="s">
        <v>375</v>
      </c>
      <c r="D697" s="684">
        <v>4</v>
      </c>
      <c r="E697" s="684">
        <v>1</v>
      </c>
      <c r="F697" t="s">
        <v>21</v>
      </c>
      <c r="G697" s="684">
        <v>1</v>
      </c>
      <c r="H697" s="684">
        <v>139.38999999999999</v>
      </c>
      <c r="I697" t="s">
        <v>691</v>
      </c>
    </row>
    <row r="698" spans="1:9">
      <c r="A698" s="177">
        <v>45108</v>
      </c>
      <c r="B698" t="s">
        <v>565</v>
      </c>
      <c r="C698" t="s">
        <v>375</v>
      </c>
      <c r="D698" s="684">
        <v>4</v>
      </c>
      <c r="E698" s="684">
        <v>2</v>
      </c>
      <c r="F698" t="s">
        <v>16</v>
      </c>
      <c r="G698" s="684">
        <v>1</v>
      </c>
      <c r="H698" s="684">
        <v>142.04</v>
      </c>
      <c r="I698" t="s">
        <v>691</v>
      </c>
    </row>
    <row r="699" spans="1:9">
      <c r="A699" s="177">
        <v>45108</v>
      </c>
      <c r="B699" t="s">
        <v>565</v>
      </c>
      <c r="C699" t="s">
        <v>375</v>
      </c>
      <c r="D699" s="684">
        <v>4</v>
      </c>
      <c r="E699" s="684">
        <v>2</v>
      </c>
      <c r="F699" t="s">
        <v>17</v>
      </c>
      <c r="G699" s="684">
        <v>1.0789</v>
      </c>
      <c r="H699" s="684">
        <v>153.25</v>
      </c>
      <c r="I699" t="s">
        <v>691</v>
      </c>
    </row>
    <row r="700" spans="1:9">
      <c r="A700" s="177">
        <v>45108</v>
      </c>
      <c r="B700" t="s">
        <v>565</v>
      </c>
      <c r="C700" t="s">
        <v>375</v>
      </c>
      <c r="D700" s="684">
        <v>4</v>
      </c>
      <c r="E700" s="684">
        <v>2</v>
      </c>
      <c r="F700" t="s">
        <v>18</v>
      </c>
      <c r="G700" s="684">
        <v>1</v>
      </c>
      <c r="H700" s="684">
        <v>142.04</v>
      </c>
      <c r="I700" t="s">
        <v>691</v>
      </c>
    </row>
    <row r="701" spans="1:9">
      <c r="A701" s="177">
        <v>45108</v>
      </c>
      <c r="B701" t="s">
        <v>565</v>
      </c>
      <c r="C701" t="s">
        <v>375</v>
      </c>
      <c r="D701" s="684">
        <v>4</v>
      </c>
      <c r="E701" s="684">
        <v>2</v>
      </c>
      <c r="F701" t="s">
        <v>19</v>
      </c>
      <c r="G701" s="684">
        <v>1</v>
      </c>
      <c r="H701" s="684">
        <v>142.04</v>
      </c>
      <c r="I701" t="s">
        <v>691</v>
      </c>
    </row>
    <row r="702" spans="1:9">
      <c r="A702" s="177">
        <v>45108</v>
      </c>
      <c r="B702" t="s">
        <v>565</v>
      </c>
      <c r="C702" t="s">
        <v>375</v>
      </c>
      <c r="D702" s="684">
        <v>4</v>
      </c>
      <c r="E702" s="684">
        <v>2</v>
      </c>
      <c r="F702" t="s">
        <v>20</v>
      </c>
      <c r="G702" s="684">
        <v>1.0629</v>
      </c>
      <c r="H702" s="684">
        <v>150.97</v>
      </c>
      <c r="I702" t="s">
        <v>691</v>
      </c>
    </row>
    <row r="703" spans="1:9">
      <c r="A703" s="177">
        <v>45108</v>
      </c>
      <c r="B703" t="s">
        <v>565</v>
      </c>
      <c r="C703" t="s">
        <v>375</v>
      </c>
      <c r="D703" s="684">
        <v>4</v>
      </c>
      <c r="E703" s="684">
        <v>2</v>
      </c>
      <c r="F703" t="s">
        <v>21</v>
      </c>
      <c r="G703" s="684">
        <v>1</v>
      </c>
      <c r="H703" s="684">
        <v>142.04</v>
      </c>
      <c r="I703" t="s">
        <v>691</v>
      </c>
    </row>
    <row r="704" spans="1:9">
      <c r="A704" s="177">
        <v>45108</v>
      </c>
      <c r="B704" t="s">
        <v>566</v>
      </c>
      <c r="C704" t="s">
        <v>375</v>
      </c>
      <c r="D704" s="684">
        <v>4</v>
      </c>
      <c r="E704" s="684">
        <v>3</v>
      </c>
      <c r="F704" t="s">
        <v>16</v>
      </c>
      <c r="G704" s="684">
        <v>1</v>
      </c>
      <c r="H704" s="684">
        <v>146.31</v>
      </c>
      <c r="I704" t="s">
        <v>691</v>
      </c>
    </row>
    <row r="705" spans="1:9">
      <c r="A705" s="177">
        <v>45108</v>
      </c>
      <c r="B705" t="s">
        <v>566</v>
      </c>
      <c r="C705" t="s">
        <v>375</v>
      </c>
      <c r="D705" s="684">
        <v>4</v>
      </c>
      <c r="E705" s="684">
        <v>3</v>
      </c>
      <c r="F705" t="s">
        <v>17</v>
      </c>
      <c r="G705" s="684">
        <v>1.0789</v>
      </c>
      <c r="H705" s="684">
        <v>157.85</v>
      </c>
      <c r="I705" t="s">
        <v>691</v>
      </c>
    </row>
    <row r="706" spans="1:9">
      <c r="A706" s="177">
        <v>45108</v>
      </c>
      <c r="B706" t="s">
        <v>566</v>
      </c>
      <c r="C706" t="s">
        <v>375</v>
      </c>
      <c r="D706" s="684">
        <v>4</v>
      </c>
      <c r="E706" s="684">
        <v>3</v>
      </c>
      <c r="F706" t="s">
        <v>18</v>
      </c>
      <c r="G706" s="684">
        <v>1</v>
      </c>
      <c r="H706" s="684">
        <v>146.31</v>
      </c>
      <c r="I706" t="s">
        <v>691</v>
      </c>
    </row>
    <row r="707" spans="1:9">
      <c r="A707" s="177">
        <v>45108</v>
      </c>
      <c r="B707" t="s">
        <v>566</v>
      </c>
      <c r="C707" t="s">
        <v>375</v>
      </c>
      <c r="D707" s="684">
        <v>4</v>
      </c>
      <c r="E707" s="684">
        <v>3</v>
      </c>
      <c r="F707" t="s">
        <v>19</v>
      </c>
      <c r="G707" s="684">
        <v>1</v>
      </c>
      <c r="H707" s="684">
        <v>146.31</v>
      </c>
      <c r="I707" t="s">
        <v>691</v>
      </c>
    </row>
    <row r="708" spans="1:9">
      <c r="A708" s="177">
        <v>45108</v>
      </c>
      <c r="B708" t="s">
        <v>566</v>
      </c>
      <c r="C708" t="s">
        <v>375</v>
      </c>
      <c r="D708" s="684">
        <v>4</v>
      </c>
      <c r="E708" s="684">
        <v>3</v>
      </c>
      <c r="F708" t="s">
        <v>20</v>
      </c>
      <c r="G708" s="684">
        <v>1.0629</v>
      </c>
      <c r="H708" s="684">
        <v>155.51</v>
      </c>
      <c r="I708" t="s">
        <v>691</v>
      </c>
    </row>
    <row r="709" spans="1:9">
      <c r="A709" s="177">
        <v>45108</v>
      </c>
      <c r="B709" t="s">
        <v>566</v>
      </c>
      <c r="C709" t="s">
        <v>375</v>
      </c>
      <c r="D709" s="684">
        <v>4</v>
      </c>
      <c r="E709" s="684">
        <v>3</v>
      </c>
      <c r="F709" t="s">
        <v>21</v>
      </c>
      <c r="G709" s="684">
        <v>1</v>
      </c>
      <c r="H709" s="684">
        <v>146.31</v>
      </c>
      <c r="I709" t="s">
        <v>691</v>
      </c>
    </row>
    <row r="710" spans="1:9">
      <c r="A710" s="177">
        <v>45108</v>
      </c>
      <c r="B710" t="s">
        <v>567</v>
      </c>
      <c r="C710" t="s">
        <v>375</v>
      </c>
      <c r="D710" s="684">
        <v>4</v>
      </c>
      <c r="E710" s="684">
        <v>4</v>
      </c>
      <c r="F710" t="s">
        <v>16</v>
      </c>
      <c r="G710" s="684">
        <v>1</v>
      </c>
      <c r="H710" s="684">
        <v>152.07</v>
      </c>
      <c r="I710" t="s">
        <v>691</v>
      </c>
    </row>
    <row r="711" spans="1:9">
      <c r="A711" s="177">
        <v>45108</v>
      </c>
      <c r="B711" t="s">
        <v>567</v>
      </c>
      <c r="C711" t="s">
        <v>375</v>
      </c>
      <c r="D711" s="684">
        <v>4</v>
      </c>
      <c r="E711" s="684">
        <v>4</v>
      </c>
      <c r="F711" t="s">
        <v>17</v>
      </c>
      <c r="G711" s="684">
        <v>1.0789</v>
      </c>
      <c r="H711" s="684">
        <v>164.07</v>
      </c>
      <c r="I711" t="s">
        <v>691</v>
      </c>
    </row>
    <row r="712" spans="1:9">
      <c r="A712" s="177">
        <v>45108</v>
      </c>
      <c r="B712" t="s">
        <v>567</v>
      </c>
      <c r="C712" t="s">
        <v>375</v>
      </c>
      <c r="D712" s="684">
        <v>4</v>
      </c>
      <c r="E712" s="684">
        <v>4</v>
      </c>
      <c r="F712" t="s">
        <v>18</v>
      </c>
      <c r="G712" s="684">
        <v>1</v>
      </c>
      <c r="H712" s="684">
        <v>152.07</v>
      </c>
      <c r="I712" t="s">
        <v>691</v>
      </c>
    </row>
    <row r="713" spans="1:9">
      <c r="A713" s="177">
        <v>45108</v>
      </c>
      <c r="B713" t="s">
        <v>567</v>
      </c>
      <c r="C713" t="s">
        <v>375</v>
      </c>
      <c r="D713" s="684">
        <v>4</v>
      </c>
      <c r="E713" s="684">
        <v>4</v>
      </c>
      <c r="F713" t="s">
        <v>19</v>
      </c>
      <c r="G713" s="684">
        <v>1</v>
      </c>
      <c r="H713" s="684">
        <v>152.07</v>
      </c>
      <c r="I713" t="s">
        <v>691</v>
      </c>
    </row>
    <row r="714" spans="1:9">
      <c r="A714" s="177">
        <v>45108</v>
      </c>
      <c r="B714" t="s">
        <v>567</v>
      </c>
      <c r="C714" t="s">
        <v>375</v>
      </c>
      <c r="D714" s="684">
        <v>4</v>
      </c>
      <c r="E714" s="684">
        <v>4</v>
      </c>
      <c r="F714" t="s">
        <v>20</v>
      </c>
      <c r="G714" s="684">
        <v>1.0629</v>
      </c>
      <c r="H714" s="684">
        <v>161.63999999999999</v>
      </c>
      <c r="I714" t="s">
        <v>691</v>
      </c>
    </row>
    <row r="715" spans="1:9">
      <c r="A715" s="177">
        <v>45108</v>
      </c>
      <c r="B715" t="s">
        <v>567</v>
      </c>
      <c r="C715" t="s">
        <v>375</v>
      </c>
      <c r="D715" s="684">
        <v>4</v>
      </c>
      <c r="E715" s="684">
        <v>4</v>
      </c>
      <c r="F715" t="s">
        <v>21</v>
      </c>
      <c r="G715" s="684">
        <v>1</v>
      </c>
      <c r="H715" s="684">
        <v>152.07</v>
      </c>
      <c r="I715" t="s">
        <v>691</v>
      </c>
    </row>
    <row r="716" spans="1:9">
      <c r="A716" s="177">
        <v>45108</v>
      </c>
      <c r="B716" t="s">
        <v>568</v>
      </c>
      <c r="C716" t="s">
        <v>375</v>
      </c>
      <c r="D716" s="684">
        <v>4</v>
      </c>
      <c r="E716" s="684">
        <v>5</v>
      </c>
      <c r="F716" t="s">
        <v>16</v>
      </c>
      <c r="G716" s="684">
        <v>1</v>
      </c>
      <c r="H716" s="684">
        <v>157.12</v>
      </c>
      <c r="I716" t="s">
        <v>691</v>
      </c>
    </row>
    <row r="717" spans="1:9">
      <c r="A717" s="177">
        <v>45108</v>
      </c>
      <c r="B717" t="s">
        <v>568</v>
      </c>
      <c r="C717" t="s">
        <v>375</v>
      </c>
      <c r="D717" s="684">
        <v>4</v>
      </c>
      <c r="E717" s="684">
        <v>5</v>
      </c>
      <c r="F717" t="s">
        <v>17</v>
      </c>
      <c r="G717" s="684">
        <v>1.0789</v>
      </c>
      <c r="H717" s="684">
        <v>169.52</v>
      </c>
      <c r="I717" t="s">
        <v>691</v>
      </c>
    </row>
    <row r="718" spans="1:9">
      <c r="A718" s="177">
        <v>45108</v>
      </c>
      <c r="B718" t="s">
        <v>568</v>
      </c>
      <c r="C718" t="s">
        <v>375</v>
      </c>
      <c r="D718" s="684">
        <v>4</v>
      </c>
      <c r="E718" s="684">
        <v>5</v>
      </c>
      <c r="F718" t="s">
        <v>18</v>
      </c>
      <c r="G718" s="684">
        <v>1</v>
      </c>
      <c r="H718" s="684">
        <v>157.12</v>
      </c>
      <c r="I718" t="s">
        <v>691</v>
      </c>
    </row>
    <row r="719" spans="1:9">
      <c r="A719" s="177">
        <v>45108</v>
      </c>
      <c r="B719" t="s">
        <v>568</v>
      </c>
      <c r="C719" t="s">
        <v>375</v>
      </c>
      <c r="D719" s="684">
        <v>4</v>
      </c>
      <c r="E719" s="684">
        <v>5</v>
      </c>
      <c r="F719" t="s">
        <v>19</v>
      </c>
      <c r="G719" s="684">
        <v>1</v>
      </c>
      <c r="H719" s="684">
        <v>157.12</v>
      </c>
      <c r="I719" t="s">
        <v>691</v>
      </c>
    </row>
    <row r="720" spans="1:9">
      <c r="A720" s="177">
        <v>45108</v>
      </c>
      <c r="B720" t="s">
        <v>568</v>
      </c>
      <c r="C720" t="s">
        <v>375</v>
      </c>
      <c r="D720" s="684">
        <v>4</v>
      </c>
      <c r="E720" s="684">
        <v>5</v>
      </c>
      <c r="F720" t="s">
        <v>20</v>
      </c>
      <c r="G720" s="684">
        <v>1.0629</v>
      </c>
      <c r="H720" s="684">
        <v>167</v>
      </c>
      <c r="I720" t="s">
        <v>691</v>
      </c>
    </row>
    <row r="721" spans="1:9">
      <c r="A721" s="177">
        <v>45108</v>
      </c>
      <c r="B721" t="s">
        <v>568</v>
      </c>
      <c r="C721" t="s">
        <v>375</v>
      </c>
      <c r="D721" s="684">
        <v>4</v>
      </c>
      <c r="E721" s="684">
        <v>5</v>
      </c>
      <c r="F721" t="s">
        <v>21</v>
      </c>
      <c r="G721" s="684">
        <v>1</v>
      </c>
      <c r="H721" s="684">
        <v>157.12</v>
      </c>
      <c r="I721" t="s">
        <v>691</v>
      </c>
    </row>
    <row r="722" spans="1:9">
      <c r="A722" s="177">
        <v>45108</v>
      </c>
      <c r="B722" t="s">
        <v>569</v>
      </c>
      <c r="C722" t="s">
        <v>375</v>
      </c>
      <c r="D722" s="684">
        <v>5</v>
      </c>
      <c r="E722" s="684">
        <v>1</v>
      </c>
      <c r="F722" t="s">
        <v>16</v>
      </c>
      <c r="G722" s="684">
        <v>1</v>
      </c>
      <c r="H722" s="684">
        <v>199.89</v>
      </c>
      <c r="I722" t="s">
        <v>691</v>
      </c>
    </row>
    <row r="723" spans="1:9">
      <c r="A723" s="177">
        <v>45108</v>
      </c>
      <c r="B723" t="s">
        <v>569</v>
      </c>
      <c r="C723" t="s">
        <v>375</v>
      </c>
      <c r="D723" s="684">
        <v>5</v>
      </c>
      <c r="E723" s="684">
        <v>1</v>
      </c>
      <c r="F723" t="s">
        <v>17</v>
      </c>
      <c r="G723" s="684">
        <v>1.0789</v>
      </c>
      <c r="H723" s="684">
        <v>215.66</v>
      </c>
      <c r="I723" t="s">
        <v>691</v>
      </c>
    </row>
    <row r="724" spans="1:9">
      <c r="A724" s="177">
        <v>45108</v>
      </c>
      <c r="B724" t="s">
        <v>569</v>
      </c>
      <c r="C724" t="s">
        <v>375</v>
      </c>
      <c r="D724" s="684">
        <v>5</v>
      </c>
      <c r="E724" s="684">
        <v>1</v>
      </c>
      <c r="F724" t="s">
        <v>18</v>
      </c>
      <c r="G724" s="684">
        <v>1</v>
      </c>
      <c r="H724" s="684">
        <v>199.89</v>
      </c>
      <c r="I724" t="s">
        <v>691</v>
      </c>
    </row>
    <row r="725" spans="1:9">
      <c r="A725" s="177">
        <v>45108</v>
      </c>
      <c r="B725" t="s">
        <v>569</v>
      </c>
      <c r="C725" t="s">
        <v>375</v>
      </c>
      <c r="D725" s="684">
        <v>5</v>
      </c>
      <c r="E725" s="684">
        <v>1</v>
      </c>
      <c r="F725" t="s">
        <v>19</v>
      </c>
      <c r="G725" s="684">
        <v>1</v>
      </c>
      <c r="H725" s="684">
        <v>199.89</v>
      </c>
      <c r="I725" t="s">
        <v>691</v>
      </c>
    </row>
    <row r="726" spans="1:9">
      <c r="A726" s="177">
        <v>45108</v>
      </c>
      <c r="B726" t="s">
        <v>569</v>
      </c>
      <c r="C726" t="s">
        <v>375</v>
      </c>
      <c r="D726" s="684">
        <v>5</v>
      </c>
      <c r="E726" s="684">
        <v>1</v>
      </c>
      <c r="F726" t="s">
        <v>20</v>
      </c>
      <c r="G726" s="684">
        <v>1.0629</v>
      </c>
      <c r="H726" s="684">
        <v>212.46</v>
      </c>
      <c r="I726" t="s">
        <v>691</v>
      </c>
    </row>
    <row r="727" spans="1:9">
      <c r="A727" s="177">
        <v>45108</v>
      </c>
      <c r="B727" t="s">
        <v>569</v>
      </c>
      <c r="C727" t="s">
        <v>375</v>
      </c>
      <c r="D727" s="684">
        <v>5</v>
      </c>
      <c r="E727" s="684">
        <v>1</v>
      </c>
      <c r="F727" t="s">
        <v>21</v>
      </c>
      <c r="G727" s="684">
        <v>1</v>
      </c>
      <c r="H727" s="684">
        <v>199.89</v>
      </c>
      <c r="I727" t="s">
        <v>691</v>
      </c>
    </row>
    <row r="728" spans="1:9">
      <c r="A728" s="177">
        <v>45108</v>
      </c>
      <c r="B728" t="s">
        <v>570</v>
      </c>
      <c r="C728" t="s">
        <v>375</v>
      </c>
      <c r="D728" s="684">
        <v>5</v>
      </c>
      <c r="E728" s="684">
        <v>2</v>
      </c>
      <c r="F728" t="s">
        <v>16</v>
      </c>
      <c r="G728" s="684">
        <v>1</v>
      </c>
      <c r="H728" s="684">
        <v>202.5</v>
      </c>
      <c r="I728" t="s">
        <v>691</v>
      </c>
    </row>
    <row r="729" spans="1:9">
      <c r="A729" s="177">
        <v>45108</v>
      </c>
      <c r="B729" t="s">
        <v>570</v>
      </c>
      <c r="C729" t="s">
        <v>375</v>
      </c>
      <c r="D729" s="684">
        <v>5</v>
      </c>
      <c r="E729" s="684">
        <v>2</v>
      </c>
      <c r="F729" t="s">
        <v>17</v>
      </c>
      <c r="G729" s="684">
        <v>1.0789</v>
      </c>
      <c r="H729" s="684">
        <v>218.48</v>
      </c>
      <c r="I729" t="s">
        <v>691</v>
      </c>
    </row>
    <row r="730" spans="1:9">
      <c r="A730" s="177">
        <v>45108</v>
      </c>
      <c r="B730" t="s">
        <v>570</v>
      </c>
      <c r="C730" t="s">
        <v>375</v>
      </c>
      <c r="D730" s="684">
        <v>5</v>
      </c>
      <c r="E730" s="684">
        <v>2</v>
      </c>
      <c r="F730" t="s">
        <v>18</v>
      </c>
      <c r="G730" s="684">
        <v>1</v>
      </c>
      <c r="H730" s="684">
        <v>202.5</v>
      </c>
      <c r="I730" t="s">
        <v>691</v>
      </c>
    </row>
    <row r="731" spans="1:9">
      <c r="A731" s="177">
        <v>45108</v>
      </c>
      <c r="B731" t="s">
        <v>570</v>
      </c>
      <c r="C731" t="s">
        <v>375</v>
      </c>
      <c r="D731" s="684">
        <v>5</v>
      </c>
      <c r="E731" s="684">
        <v>2</v>
      </c>
      <c r="F731" t="s">
        <v>19</v>
      </c>
      <c r="G731" s="684">
        <v>1</v>
      </c>
      <c r="H731" s="684">
        <v>202.5</v>
      </c>
      <c r="I731" t="s">
        <v>691</v>
      </c>
    </row>
    <row r="732" spans="1:9">
      <c r="A732" s="177">
        <v>45108</v>
      </c>
      <c r="B732" t="s">
        <v>570</v>
      </c>
      <c r="C732" t="s">
        <v>375</v>
      </c>
      <c r="D732" s="684">
        <v>5</v>
      </c>
      <c r="E732" s="684">
        <v>2</v>
      </c>
      <c r="F732" t="s">
        <v>20</v>
      </c>
      <c r="G732" s="684">
        <v>1.0629</v>
      </c>
      <c r="H732" s="684">
        <v>215.24</v>
      </c>
      <c r="I732" t="s">
        <v>691</v>
      </c>
    </row>
    <row r="733" spans="1:9">
      <c r="A733" s="177">
        <v>45108</v>
      </c>
      <c r="B733" t="s">
        <v>570</v>
      </c>
      <c r="C733" t="s">
        <v>375</v>
      </c>
      <c r="D733" s="684">
        <v>5</v>
      </c>
      <c r="E733" s="684">
        <v>2</v>
      </c>
      <c r="F733" t="s">
        <v>21</v>
      </c>
      <c r="G733" s="684">
        <v>1</v>
      </c>
      <c r="H733" s="684">
        <v>202.5</v>
      </c>
      <c r="I733" t="s">
        <v>691</v>
      </c>
    </row>
    <row r="734" spans="1:9">
      <c r="A734" s="177">
        <v>45108</v>
      </c>
      <c r="B734" t="s">
        <v>571</v>
      </c>
      <c r="C734" t="s">
        <v>375</v>
      </c>
      <c r="D734" s="684">
        <v>5</v>
      </c>
      <c r="E734" s="684">
        <v>3</v>
      </c>
      <c r="F734" t="s">
        <v>16</v>
      </c>
      <c r="G734" s="684">
        <v>1</v>
      </c>
      <c r="H734" s="684">
        <v>206.76</v>
      </c>
      <c r="I734" t="s">
        <v>691</v>
      </c>
    </row>
    <row r="735" spans="1:9">
      <c r="A735" s="177">
        <v>45108</v>
      </c>
      <c r="B735" t="s">
        <v>571</v>
      </c>
      <c r="C735" t="s">
        <v>375</v>
      </c>
      <c r="D735" s="684">
        <v>5</v>
      </c>
      <c r="E735" s="684">
        <v>3</v>
      </c>
      <c r="F735" t="s">
        <v>17</v>
      </c>
      <c r="G735" s="684">
        <v>1.0789</v>
      </c>
      <c r="H735" s="684">
        <v>223.07</v>
      </c>
      <c r="I735" t="s">
        <v>691</v>
      </c>
    </row>
    <row r="736" spans="1:9">
      <c r="A736" s="177">
        <v>45108</v>
      </c>
      <c r="B736" t="s">
        <v>571</v>
      </c>
      <c r="C736" t="s">
        <v>375</v>
      </c>
      <c r="D736" s="684">
        <v>5</v>
      </c>
      <c r="E736" s="684">
        <v>3</v>
      </c>
      <c r="F736" t="s">
        <v>18</v>
      </c>
      <c r="G736" s="684">
        <v>1</v>
      </c>
      <c r="H736" s="684">
        <v>206.76</v>
      </c>
      <c r="I736" t="s">
        <v>691</v>
      </c>
    </row>
    <row r="737" spans="1:9">
      <c r="A737" s="177">
        <v>45108</v>
      </c>
      <c r="B737" t="s">
        <v>571</v>
      </c>
      <c r="C737" t="s">
        <v>375</v>
      </c>
      <c r="D737" s="684">
        <v>5</v>
      </c>
      <c r="E737" s="684">
        <v>3</v>
      </c>
      <c r="F737" t="s">
        <v>19</v>
      </c>
      <c r="G737" s="684">
        <v>1</v>
      </c>
      <c r="H737" s="684">
        <v>206.76</v>
      </c>
      <c r="I737" t="s">
        <v>691</v>
      </c>
    </row>
    <row r="738" spans="1:9">
      <c r="A738" s="177">
        <v>45108</v>
      </c>
      <c r="B738" t="s">
        <v>571</v>
      </c>
      <c r="C738" t="s">
        <v>375</v>
      </c>
      <c r="D738" s="684">
        <v>5</v>
      </c>
      <c r="E738" s="684">
        <v>3</v>
      </c>
      <c r="F738" t="s">
        <v>20</v>
      </c>
      <c r="G738" s="684">
        <v>1.0629</v>
      </c>
      <c r="H738" s="684">
        <v>219.77</v>
      </c>
      <c r="I738" t="s">
        <v>691</v>
      </c>
    </row>
    <row r="739" spans="1:9">
      <c r="A739" s="177">
        <v>45108</v>
      </c>
      <c r="B739" t="s">
        <v>571</v>
      </c>
      <c r="C739" t="s">
        <v>375</v>
      </c>
      <c r="D739" s="684">
        <v>5</v>
      </c>
      <c r="E739" s="684">
        <v>3</v>
      </c>
      <c r="F739" t="s">
        <v>21</v>
      </c>
      <c r="G739" s="684">
        <v>1</v>
      </c>
      <c r="H739" s="684">
        <v>206.76</v>
      </c>
      <c r="I739" t="s">
        <v>691</v>
      </c>
    </row>
    <row r="740" spans="1:9">
      <c r="A740" s="177">
        <v>45108</v>
      </c>
      <c r="B740" t="s">
        <v>572</v>
      </c>
      <c r="C740" t="s">
        <v>375</v>
      </c>
      <c r="D740" s="684">
        <v>5</v>
      </c>
      <c r="E740" s="684">
        <v>4</v>
      </c>
      <c r="F740" t="s">
        <v>16</v>
      </c>
      <c r="G740" s="684">
        <v>1</v>
      </c>
      <c r="H740" s="684">
        <v>212.51</v>
      </c>
      <c r="I740" t="s">
        <v>691</v>
      </c>
    </row>
    <row r="741" spans="1:9">
      <c r="A741" s="177">
        <v>45108</v>
      </c>
      <c r="B741" t="s">
        <v>572</v>
      </c>
      <c r="C741" t="s">
        <v>375</v>
      </c>
      <c r="D741" s="684">
        <v>5</v>
      </c>
      <c r="E741" s="684">
        <v>4</v>
      </c>
      <c r="F741" t="s">
        <v>17</v>
      </c>
      <c r="G741" s="684">
        <v>1.0789</v>
      </c>
      <c r="H741" s="684">
        <v>229.28</v>
      </c>
      <c r="I741" t="s">
        <v>691</v>
      </c>
    </row>
    <row r="742" spans="1:9">
      <c r="A742" s="177">
        <v>45108</v>
      </c>
      <c r="B742" t="s">
        <v>572</v>
      </c>
      <c r="C742" t="s">
        <v>375</v>
      </c>
      <c r="D742" s="684">
        <v>5</v>
      </c>
      <c r="E742" s="684">
        <v>4</v>
      </c>
      <c r="F742" t="s">
        <v>18</v>
      </c>
      <c r="G742" s="684">
        <v>1</v>
      </c>
      <c r="H742" s="684">
        <v>212.51</v>
      </c>
      <c r="I742" t="s">
        <v>691</v>
      </c>
    </row>
    <row r="743" spans="1:9">
      <c r="A743" s="177">
        <v>45108</v>
      </c>
      <c r="B743" t="s">
        <v>572</v>
      </c>
      <c r="C743" t="s">
        <v>375</v>
      </c>
      <c r="D743" s="684">
        <v>5</v>
      </c>
      <c r="E743" s="684">
        <v>4</v>
      </c>
      <c r="F743" t="s">
        <v>19</v>
      </c>
      <c r="G743" s="684">
        <v>1</v>
      </c>
      <c r="H743" s="684">
        <v>212.51</v>
      </c>
      <c r="I743" t="s">
        <v>691</v>
      </c>
    </row>
    <row r="744" spans="1:9">
      <c r="A744" s="177">
        <v>45108</v>
      </c>
      <c r="B744" t="s">
        <v>572</v>
      </c>
      <c r="C744" t="s">
        <v>375</v>
      </c>
      <c r="D744" s="684">
        <v>5</v>
      </c>
      <c r="E744" s="684">
        <v>4</v>
      </c>
      <c r="F744" t="s">
        <v>20</v>
      </c>
      <c r="G744" s="684">
        <v>1.0629</v>
      </c>
      <c r="H744" s="684">
        <v>225.88</v>
      </c>
      <c r="I744" t="s">
        <v>691</v>
      </c>
    </row>
    <row r="745" spans="1:9">
      <c r="A745" s="177">
        <v>45108</v>
      </c>
      <c r="B745" t="s">
        <v>572</v>
      </c>
      <c r="C745" t="s">
        <v>375</v>
      </c>
      <c r="D745" s="684">
        <v>5</v>
      </c>
      <c r="E745" s="684">
        <v>4</v>
      </c>
      <c r="F745" t="s">
        <v>21</v>
      </c>
      <c r="G745" s="684">
        <v>1</v>
      </c>
      <c r="H745" s="684">
        <v>212.51</v>
      </c>
      <c r="I745" t="s">
        <v>691</v>
      </c>
    </row>
    <row r="746" spans="1:9">
      <c r="A746" s="177">
        <v>45108</v>
      </c>
      <c r="B746" t="s">
        <v>573</v>
      </c>
      <c r="C746" t="s">
        <v>375</v>
      </c>
      <c r="D746" s="684">
        <v>5</v>
      </c>
      <c r="E746" s="684">
        <v>5</v>
      </c>
      <c r="F746" t="s">
        <v>16</v>
      </c>
      <c r="G746" s="684">
        <v>1</v>
      </c>
      <c r="H746" s="684">
        <v>217.58</v>
      </c>
      <c r="I746" t="s">
        <v>691</v>
      </c>
    </row>
    <row r="747" spans="1:9">
      <c r="A747" s="177">
        <v>45108</v>
      </c>
      <c r="B747" t="s">
        <v>573</v>
      </c>
      <c r="C747" t="s">
        <v>375</v>
      </c>
      <c r="D747" s="684">
        <v>5</v>
      </c>
      <c r="E747" s="684">
        <v>5</v>
      </c>
      <c r="F747" t="s">
        <v>17</v>
      </c>
      <c r="G747" s="684">
        <v>1.0789</v>
      </c>
      <c r="H747" s="684">
        <v>234.75</v>
      </c>
      <c r="I747" t="s">
        <v>691</v>
      </c>
    </row>
    <row r="748" spans="1:9">
      <c r="A748" s="177">
        <v>45108</v>
      </c>
      <c r="B748" t="s">
        <v>573</v>
      </c>
      <c r="C748" t="s">
        <v>375</v>
      </c>
      <c r="D748" s="684">
        <v>5</v>
      </c>
      <c r="E748" s="684">
        <v>5</v>
      </c>
      <c r="F748" t="s">
        <v>18</v>
      </c>
      <c r="G748" s="684">
        <v>1</v>
      </c>
      <c r="H748" s="684">
        <v>217.58</v>
      </c>
      <c r="I748" t="s">
        <v>691</v>
      </c>
    </row>
    <row r="749" spans="1:9">
      <c r="A749" s="177">
        <v>45108</v>
      </c>
      <c r="B749" t="s">
        <v>573</v>
      </c>
      <c r="C749" t="s">
        <v>375</v>
      </c>
      <c r="D749" s="684">
        <v>5</v>
      </c>
      <c r="E749" s="684">
        <v>5</v>
      </c>
      <c r="F749" t="s">
        <v>19</v>
      </c>
      <c r="G749" s="684">
        <v>1</v>
      </c>
      <c r="H749" s="684">
        <v>217.58</v>
      </c>
      <c r="I749" t="s">
        <v>691</v>
      </c>
    </row>
    <row r="750" spans="1:9">
      <c r="A750" s="177">
        <v>45108</v>
      </c>
      <c r="B750" t="s">
        <v>573</v>
      </c>
      <c r="C750" t="s">
        <v>375</v>
      </c>
      <c r="D750" s="684">
        <v>5</v>
      </c>
      <c r="E750" s="684">
        <v>5</v>
      </c>
      <c r="F750" t="s">
        <v>20</v>
      </c>
      <c r="G750" s="684">
        <v>1.0629</v>
      </c>
      <c r="H750" s="684">
        <v>231.27</v>
      </c>
      <c r="I750" t="s">
        <v>691</v>
      </c>
    </row>
    <row r="751" spans="1:9">
      <c r="A751" s="177">
        <v>45108</v>
      </c>
      <c r="B751" t="s">
        <v>573</v>
      </c>
      <c r="C751" t="s">
        <v>375</v>
      </c>
      <c r="D751" s="684">
        <v>5</v>
      </c>
      <c r="E751" s="684">
        <v>5</v>
      </c>
      <c r="F751" t="s">
        <v>21</v>
      </c>
      <c r="G751" s="684">
        <v>1</v>
      </c>
      <c r="H751" s="684">
        <v>217.58</v>
      </c>
      <c r="I751" t="s">
        <v>691</v>
      </c>
    </row>
    <row r="752" spans="1:9">
      <c r="A752" s="177">
        <v>45108</v>
      </c>
      <c r="B752" t="s">
        <v>574</v>
      </c>
      <c r="C752" t="s">
        <v>575</v>
      </c>
      <c r="D752" s="684">
        <v>1</v>
      </c>
      <c r="E752" s="684">
        <v>1</v>
      </c>
      <c r="F752" t="s">
        <v>16</v>
      </c>
      <c r="G752" s="684">
        <v>1</v>
      </c>
      <c r="H752" s="684">
        <v>28.8</v>
      </c>
      <c r="I752" t="s">
        <v>700</v>
      </c>
    </row>
    <row r="753" spans="1:9">
      <c r="A753" s="177">
        <v>45108</v>
      </c>
      <c r="B753" t="s">
        <v>574</v>
      </c>
      <c r="C753" t="s">
        <v>575</v>
      </c>
      <c r="D753" s="684">
        <v>1</v>
      </c>
      <c r="E753" s="684">
        <v>1</v>
      </c>
      <c r="F753" t="s">
        <v>17</v>
      </c>
      <c r="G753" s="684">
        <v>1.0789</v>
      </c>
      <c r="H753" s="684">
        <v>31.07</v>
      </c>
      <c r="I753" t="s">
        <v>700</v>
      </c>
    </row>
    <row r="754" spans="1:9">
      <c r="A754" s="177">
        <v>45108</v>
      </c>
      <c r="B754" t="s">
        <v>574</v>
      </c>
      <c r="C754" t="s">
        <v>575</v>
      </c>
      <c r="D754" s="684">
        <v>1</v>
      </c>
      <c r="E754" s="684">
        <v>1</v>
      </c>
      <c r="F754" t="s">
        <v>18</v>
      </c>
      <c r="G754" s="684">
        <v>1</v>
      </c>
      <c r="H754" s="684">
        <v>28.8</v>
      </c>
      <c r="I754" t="s">
        <v>700</v>
      </c>
    </row>
    <row r="755" spans="1:9">
      <c r="A755" s="177">
        <v>45108</v>
      </c>
      <c r="B755" t="s">
        <v>574</v>
      </c>
      <c r="C755" t="s">
        <v>575</v>
      </c>
      <c r="D755" s="684">
        <v>1</v>
      </c>
      <c r="E755" s="684">
        <v>1</v>
      </c>
      <c r="F755" t="s">
        <v>19</v>
      </c>
      <c r="G755" s="684">
        <v>1</v>
      </c>
      <c r="H755" s="684">
        <v>28.8</v>
      </c>
      <c r="I755" t="s">
        <v>700</v>
      </c>
    </row>
    <row r="756" spans="1:9">
      <c r="A756" s="177">
        <v>45108</v>
      </c>
      <c r="B756" t="s">
        <v>574</v>
      </c>
      <c r="C756" t="s">
        <v>575</v>
      </c>
      <c r="D756" s="684">
        <v>1</v>
      </c>
      <c r="E756" s="684">
        <v>1</v>
      </c>
      <c r="F756" t="s">
        <v>20</v>
      </c>
      <c r="G756" s="684">
        <v>1.0629</v>
      </c>
      <c r="H756" s="684">
        <v>30.61</v>
      </c>
      <c r="I756" t="s">
        <v>700</v>
      </c>
    </row>
    <row r="757" spans="1:9">
      <c r="A757" s="177">
        <v>45108</v>
      </c>
      <c r="B757" t="s">
        <v>574</v>
      </c>
      <c r="C757" t="s">
        <v>575</v>
      </c>
      <c r="D757" s="684">
        <v>1</v>
      </c>
      <c r="E757" s="684">
        <v>1</v>
      </c>
      <c r="F757" t="s">
        <v>21</v>
      </c>
      <c r="G757" s="684">
        <v>1</v>
      </c>
      <c r="H757" s="684">
        <v>28.8</v>
      </c>
      <c r="I757" t="s">
        <v>700</v>
      </c>
    </row>
    <row r="758" spans="1:9">
      <c r="A758" s="177">
        <v>45108</v>
      </c>
      <c r="B758" t="s">
        <v>576</v>
      </c>
      <c r="C758" t="s">
        <v>575</v>
      </c>
      <c r="D758" s="684">
        <v>1</v>
      </c>
      <c r="E758" s="684">
        <v>2</v>
      </c>
      <c r="F758" t="s">
        <v>16</v>
      </c>
      <c r="G758" s="684">
        <v>1</v>
      </c>
      <c r="H758" s="684">
        <v>31.78</v>
      </c>
      <c r="I758" t="s">
        <v>700</v>
      </c>
    </row>
    <row r="759" spans="1:9">
      <c r="A759" s="177">
        <v>45108</v>
      </c>
      <c r="B759" t="s">
        <v>576</v>
      </c>
      <c r="C759" t="s">
        <v>575</v>
      </c>
      <c r="D759" s="684">
        <v>1</v>
      </c>
      <c r="E759" s="684">
        <v>2</v>
      </c>
      <c r="F759" t="s">
        <v>17</v>
      </c>
      <c r="G759" s="684">
        <v>1.0789</v>
      </c>
      <c r="H759" s="684">
        <v>34.29</v>
      </c>
      <c r="I759" t="s">
        <v>700</v>
      </c>
    </row>
    <row r="760" spans="1:9">
      <c r="A760" s="177">
        <v>45108</v>
      </c>
      <c r="B760" t="s">
        <v>576</v>
      </c>
      <c r="C760" t="s">
        <v>575</v>
      </c>
      <c r="D760" s="684">
        <v>1</v>
      </c>
      <c r="E760" s="684">
        <v>2</v>
      </c>
      <c r="F760" t="s">
        <v>18</v>
      </c>
      <c r="G760" s="684">
        <v>1</v>
      </c>
      <c r="H760" s="684">
        <v>31.78</v>
      </c>
      <c r="I760" t="s">
        <v>700</v>
      </c>
    </row>
    <row r="761" spans="1:9">
      <c r="A761" s="177">
        <v>45108</v>
      </c>
      <c r="B761" t="s">
        <v>576</v>
      </c>
      <c r="C761" t="s">
        <v>575</v>
      </c>
      <c r="D761" s="684">
        <v>1</v>
      </c>
      <c r="E761" s="684">
        <v>2</v>
      </c>
      <c r="F761" t="s">
        <v>19</v>
      </c>
      <c r="G761" s="684">
        <v>1</v>
      </c>
      <c r="H761" s="684">
        <v>31.78</v>
      </c>
      <c r="I761" t="s">
        <v>700</v>
      </c>
    </row>
    <row r="762" spans="1:9">
      <c r="A762" s="177">
        <v>45108</v>
      </c>
      <c r="B762" t="s">
        <v>576</v>
      </c>
      <c r="C762" t="s">
        <v>575</v>
      </c>
      <c r="D762" s="684">
        <v>1</v>
      </c>
      <c r="E762" s="684">
        <v>2</v>
      </c>
      <c r="F762" t="s">
        <v>20</v>
      </c>
      <c r="G762" s="684">
        <v>1.0629</v>
      </c>
      <c r="H762" s="684">
        <v>33.78</v>
      </c>
      <c r="I762" t="s">
        <v>700</v>
      </c>
    </row>
    <row r="763" spans="1:9">
      <c r="A763" s="177">
        <v>45108</v>
      </c>
      <c r="B763" t="s">
        <v>576</v>
      </c>
      <c r="C763" t="s">
        <v>575</v>
      </c>
      <c r="D763" s="684">
        <v>1</v>
      </c>
      <c r="E763" s="684">
        <v>2</v>
      </c>
      <c r="F763" t="s">
        <v>21</v>
      </c>
      <c r="G763" s="684">
        <v>1</v>
      </c>
      <c r="H763" s="684">
        <v>31.78</v>
      </c>
      <c r="I763" t="s">
        <v>700</v>
      </c>
    </row>
    <row r="764" spans="1:9">
      <c r="A764" s="177">
        <v>45108</v>
      </c>
      <c r="B764" t="s">
        <v>577</v>
      </c>
      <c r="C764" t="s">
        <v>575</v>
      </c>
      <c r="D764" s="684">
        <v>1</v>
      </c>
      <c r="E764" s="684">
        <v>3</v>
      </c>
      <c r="F764" t="s">
        <v>16</v>
      </c>
      <c r="G764" s="684">
        <v>1</v>
      </c>
      <c r="H764" s="684">
        <v>36.64</v>
      </c>
      <c r="I764" t="s">
        <v>700</v>
      </c>
    </row>
    <row r="765" spans="1:9">
      <c r="A765" s="177">
        <v>45108</v>
      </c>
      <c r="B765" t="s">
        <v>577</v>
      </c>
      <c r="C765" t="s">
        <v>575</v>
      </c>
      <c r="D765" s="684">
        <v>1</v>
      </c>
      <c r="E765" s="684">
        <v>3</v>
      </c>
      <c r="F765" t="s">
        <v>17</v>
      </c>
      <c r="G765" s="684">
        <v>1.0789</v>
      </c>
      <c r="H765" s="684">
        <v>39.53</v>
      </c>
      <c r="I765" t="s">
        <v>700</v>
      </c>
    </row>
    <row r="766" spans="1:9">
      <c r="A766" s="177">
        <v>45108</v>
      </c>
      <c r="B766" t="s">
        <v>577</v>
      </c>
      <c r="C766" t="s">
        <v>575</v>
      </c>
      <c r="D766" s="684">
        <v>1</v>
      </c>
      <c r="E766" s="684">
        <v>3</v>
      </c>
      <c r="F766" t="s">
        <v>18</v>
      </c>
      <c r="G766" s="684">
        <v>1</v>
      </c>
      <c r="H766" s="684">
        <v>36.64</v>
      </c>
      <c r="I766" t="s">
        <v>700</v>
      </c>
    </row>
    <row r="767" spans="1:9">
      <c r="A767" s="177">
        <v>45108</v>
      </c>
      <c r="B767" t="s">
        <v>577</v>
      </c>
      <c r="C767" t="s">
        <v>575</v>
      </c>
      <c r="D767" s="684">
        <v>1</v>
      </c>
      <c r="E767" s="684">
        <v>3</v>
      </c>
      <c r="F767" t="s">
        <v>19</v>
      </c>
      <c r="G767" s="684">
        <v>1</v>
      </c>
      <c r="H767" s="684">
        <v>36.64</v>
      </c>
      <c r="I767" t="s">
        <v>700</v>
      </c>
    </row>
    <row r="768" spans="1:9">
      <c r="A768" s="177">
        <v>45108</v>
      </c>
      <c r="B768" t="s">
        <v>577</v>
      </c>
      <c r="C768" t="s">
        <v>575</v>
      </c>
      <c r="D768" s="684">
        <v>1</v>
      </c>
      <c r="E768" s="684">
        <v>3</v>
      </c>
      <c r="F768" t="s">
        <v>20</v>
      </c>
      <c r="G768" s="684">
        <v>1.0629</v>
      </c>
      <c r="H768" s="684">
        <v>38.94</v>
      </c>
      <c r="I768" t="s">
        <v>700</v>
      </c>
    </row>
    <row r="769" spans="1:9">
      <c r="A769" s="177">
        <v>45108</v>
      </c>
      <c r="B769" t="s">
        <v>577</v>
      </c>
      <c r="C769" t="s">
        <v>575</v>
      </c>
      <c r="D769" s="684">
        <v>1</v>
      </c>
      <c r="E769" s="684">
        <v>3</v>
      </c>
      <c r="F769" t="s">
        <v>21</v>
      </c>
      <c r="G769" s="684">
        <v>1</v>
      </c>
      <c r="H769" s="684">
        <v>36.64</v>
      </c>
      <c r="I769" t="s">
        <v>700</v>
      </c>
    </row>
    <row r="770" spans="1:9">
      <c r="A770" s="177">
        <v>45108</v>
      </c>
      <c r="B770" t="s">
        <v>578</v>
      </c>
      <c r="C770" t="s">
        <v>575</v>
      </c>
      <c r="D770" s="684">
        <v>1</v>
      </c>
      <c r="E770" s="684">
        <v>4</v>
      </c>
      <c r="F770" t="s">
        <v>16</v>
      </c>
      <c r="G770" s="684">
        <v>1</v>
      </c>
      <c r="H770" s="684">
        <v>43.22</v>
      </c>
      <c r="I770" t="s">
        <v>700</v>
      </c>
    </row>
    <row r="771" spans="1:9">
      <c r="A771" s="177">
        <v>45108</v>
      </c>
      <c r="B771" t="s">
        <v>578</v>
      </c>
      <c r="C771" t="s">
        <v>575</v>
      </c>
      <c r="D771" s="684">
        <v>1</v>
      </c>
      <c r="E771" s="684">
        <v>4</v>
      </c>
      <c r="F771" t="s">
        <v>17</v>
      </c>
      <c r="G771" s="684">
        <v>1.0789</v>
      </c>
      <c r="H771" s="684">
        <v>46.63</v>
      </c>
      <c r="I771" t="s">
        <v>700</v>
      </c>
    </row>
    <row r="772" spans="1:9">
      <c r="A772" s="177">
        <v>45108</v>
      </c>
      <c r="B772" t="s">
        <v>578</v>
      </c>
      <c r="C772" t="s">
        <v>575</v>
      </c>
      <c r="D772" s="684">
        <v>1</v>
      </c>
      <c r="E772" s="684">
        <v>4</v>
      </c>
      <c r="F772" t="s">
        <v>18</v>
      </c>
      <c r="G772" s="684">
        <v>1</v>
      </c>
      <c r="H772" s="684">
        <v>43.22</v>
      </c>
      <c r="I772" t="s">
        <v>700</v>
      </c>
    </row>
    <row r="773" spans="1:9">
      <c r="A773" s="177">
        <v>45108</v>
      </c>
      <c r="B773" t="s">
        <v>578</v>
      </c>
      <c r="C773" t="s">
        <v>575</v>
      </c>
      <c r="D773" s="684">
        <v>1</v>
      </c>
      <c r="E773" s="684">
        <v>4</v>
      </c>
      <c r="F773" t="s">
        <v>19</v>
      </c>
      <c r="G773" s="684">
        <v>1</v>
      </c>
      <c r="H773" s="684">
        <v>43.22</v>
      </c>
      <c r="I773" t="s">
        <v>700</v>
      </c>
    </row>
    <row r="774" spans="1:9">
      <c r="A774" s="177">
        <v>45108</v>
      </c>
      <c r="B774" t="s">
        <v>578</v>
      </c>
      <c r="C774" t="s">
        <v>575</v>
      </c>
      <c r="D774" s="684">
        <v>1</v>
      </c>
      <c r="E774" s="684">
        <v>4</v>
      </c>
      <c r="F774" t="s">
        <v>20</v>
      </c>
      <c r="G774" s="684">
        <v>1.0629</v>
      </c>
      <c r="H774" s="684">
        <v>45.94</v>
      </c>
      <c r="I774" t="s">
        <v>700</v>
      </c>
    </row>
    <row r="775" spans="1:9">
      <c r="A775" s="177">
        <v>45108</v>
      </c>
      <c r="B775" t="s">
        <v>578</v>
      </c>
      <c r="C775" t="s">
        <v>575</v>
      </c>
      <c r="D775" s="684">
        <v>1</v>
      </c>
      <c r="E775" s="684">
        <v>4</v>
      </c>
      <c r="F775" t="s">
        <v>21</v>
      </c>
      <c r="G775" s="684">
        <v>1</v>
      </c>
      <c r="H775" s="684">
        <v>43.22</v>
      </c>
      <c r="I775" t="s">
        <v>700</v>
      </c>
    </row>
    <row r="776" spans="1:9">
      <c r="A776" s="177">
        <v>45108</v>
      </c>
      <c r="B776" t="s">
        <v>579</v>
      </c>
      <c r="C776" t="s">
        <v>575</v>
      </c>
      <c r="D776" s="684">
        <v>1</v>
      </c>
      <c r="E776" s="684">
        <v>5</v>
      </c>
      <c r="F776" t="s">
        <v>16</v>
      </c>
      <c r="G776" s="684">
        <v>1</v>
      </c>
      <c r="H776" s="684">
        <v>48.98</v>
      </c>
      <c r="I776" t="s">
        <v>700</v>
      </c>
    </row>
    <row r="777" spans="1:9">
      <c r="A777" s="177">
        <v>45108</v>
      </c>
      <c r="B777" t="s">
        <v>579</v>
      </c>
      <c r="C777" t="s">
        <v>575</v>
      </c>
      <c r="D777" s="684">
        <v>1</v>
      </c>
      <c r="E777" s="684">
        <v>5</v>
      </c>
      <c r="F777" t="s">
        <v>17</v>
      </c>
      <c r="G777" s="684">
        <v>1.0789</v>
      </c>
      <c r="H777" s="684">
        <v>52.84</v>
      </c>
      <c r="I777" t="s">
        <v>700</v>
      </c>
    </row>
    <row r="778" spans="1:9">
      <c r="A778" s="177">
        <v>45108</v>
      </c>
      <c r="B778" t="s">
        <v>579</v>
      </c>
      <c r="C778" t="s">
        <v>575</v>
      </c>
      <c r="D778" s="684">
        <v>1</v>
      </c>
      <c r="E778" s="684">
        <v>5</v>
      </c>
      <c r="F778" t="s">
        <v>18</v>
      </c>
      <c r="G778" s="684">
        <v>1</v>
      </c>
      <c r="H778" s="684">
        <v>48.98</v>
      </c>
      <c r="I778" t="s">
        <v>700</v>
      </c>
    </row>
    <row r="779" spans="1:9">
      <c r="A779" s="177">
        <v>45108</v>
      </c>
      <c r="B779" t="s">
        <v>579</v>
      </c>
      <c r="C779" t="s">
        <v>575</v>
      </c>
      <c r="D779" s="684">
        <v>1</v>
      </c>
      <c r="E779" s="684">
        <v>5</v>
      </c>
      <c r="F779" t="s">
        <v>19</v>
      </c>
      <c r="G779" s="684">
        <v>1</v>
      </c>
      <c r="H779" s="684">
        <v>48.98</v>
      </c>
      <c r="I779" t="s">
        <v>700</v>
      </c>
    </row>
    <row r="780" spans="1:9">
      <c r="A780" s="177">
        <v>45108</v>
      </c>
      <c r="B780" t="s">
        <v>579</v>
      </c>
      <c r="C780" t="s">
        <v>575</v>
      </c>
      <c r="D780" s="684">
        <v>1</v>
      </c>
      <c r="E780" s="684">
        <v>5</v>
      </c>
      <c r="F780" t="s">
        <v>20</v>
      </c>
      <c r="G780" s="684">
        <v>1.0629</v>
      </c>
      <c r="H780" s="684">
        <v>52.06</v>
      </c>
      <c r="I780" t="s">
        <v>700</v>
      </c>
    </row>
    <row r="781" spans="1:9">
      <c r="A781" s="177">
        <v>45108</v>
      </c>
      <c r="B781" t="s">
        <v>579</v>
      </c>
      <c r="C781" t="s">
        <v>575</v>
      </c>
      <c r="D781" s="684">
        <v>1</v>
      </c>
      <c r="E781" s="684">
        <v>5</v>
      </c>
      <c r="F781" t="s">
        <v>21</v>
      </c>
      <c r="G781" s="684">
        <v>1</v>
      </c>
      <c r="H781" s="684">
        <v>48.98</v>
      </c>
      <c r="I781" t="s">
        <v>700</v>
      </c>
    </row>
    <row r="782" spans="1:9">
      <c r="A782" s="177">
        <v>45108</v>
      </c>
      <c r="B782" t="s">
        <v>580</v>
      </c>
      <c r="C782" t="s">
        <v>575</v>
      </c>
      <c r="D782" s="684">
        <v>2</v>
      </c>
      <c r="E782" s="684">
        <v>1</v>
      </c>
      <c r="F782" t="s">
        <v>16</v>
      </c>
      <c r="G782" s="684">
        <v>1</v>
      </c>
      <c r="H782" s="684">
        <v>34.409999999999997</v>
      </c>
      <c r="I782" t="s">
        <v>700</v>
      </c>
    </row>
    <row r="783" spans="1:9">
      <c r="A783" s="177">
        <v>45108</v>
      </c>
      <c r="B783" t="s">
        <v>580</v>
      </c>
      <c r="C783" t="s">
        <v>575</v>
      </c>
      <c r="D783" s="684">
        <v>2</v>
      </c>
      <c r="E783" s="684">
        <v>1</v>
      </c>
      <c r="F783" t="s">
        <v>17</v>
      </c>
      <c r="G783" s="684">
        <v>1.0789</v>
      </c>
      <c r="H783" s="684">
        <v>37.119999999999997</v>
      </c>
      <c r="I783" t="s">
        <v>700</v>
      </c>
    </row>
    <row r="784" spans="1:9">
      <c r="A784" s="177">
        <v>45108</v>
      </c>
      <c r="B784" t="s">
        <v>580</v>
      </c>
      <c r="C784" t="s">
        <v>575</v>
      </c>
      <c r="D784" s="684">
        <v>2</v>
      </c>
      <c r="E784" s="684">
        <v>1</v>
      </c>
      <c r="F784" t="s">
        <v>18</v>
      </c>
      <c r="G784" s="684">
        <v>1</v>
      </c>
      <c r="H784" s="684">
        <v>34.409999999999997</v>
      </c>
      <c r="I784" t="s">
        <v>700</v>
      </c>
    </row>
    <row r="785" spans="1:9">
      <c r="A785" s="177">
        <v>45108</v>
      </c>
      <c r="B785" t="s">
        <v>580</v>
      </c>
      <c r="C785" t="s">
        <v>575</v>
      </c>
      <c r="D785" s="684">
        <v>2</v>
      </c>
      <c r="E785" s="684">
        <v>1</v>
      </c>
      <c r="F785" t="s">
        <v>19</v>
      </c>
      <c r="G785" s="684">
        <v>1</v>
      </c>
      <c r="H785" s="684">
        <v>34.409999999999997</v>
      </c>
      <c r="I785" t="s">
        <v>700</v>
      </c>
    </row>
    <row r="786" spans="1:9">
      <c r="A786" s="177">
        <v>45108</v>
      </c>
      <c r="B786" t="s">
        <v>580</v>
      </c>
      <c r="C786" t="s">
        <v>575</v>
      </c>
      <c r="D786" s="684">
        <v>2</v>
      </c>
      <c r="E786" s="684">
        <v>1</v>
      </c>
      <c r="F786" t="s">
        <v>20</v>
      </c>
      <c r="G786" s="684">
        <v>1.0629</v>
      </c>
      <c r="H786" s="684">
        <v>36.57</v>
      </c>
      <c r="I786" t="s">
        <v>700</v>
      </c>
    </row>
    <row r="787" spans="1:9">
      <c r="A787" s="177">
        <v>45108</v>
      </c>
      <c r="B787" t="s">
        <v>580</v>
      </c>
      <c r="C787" t="s">
        <v>575</v>
      </c>
      <c r="D787" s="684">
        <v>2</v>
      </c>
      <c r="E787" s="684">
        <v>1</v>
      </c>
      <c r="F787" t="s">
        <v>21</v>
      </c>
      <c r="G787" s="684">
        <v>1</v>
      </c>
      <c r="H787" s="684">
        <v>34.409999999999997</v>
      </c>
      <c r="I787" t="s">
        <v>700</v>
      </c>
    </row>
    <row r="788" spans="1:9">
      <c r="A788" s="177">
        <v>45108</v>
      </c>
      <c r="B788" t="s">
        <v>581</v>
      </c>
      <c r="C788" t="s">
        <v>575</v>
      </c>
      <c r="D788" s="684">
        <v>2</v>
      </c>
      <c r="E788" s="684">
        <v>2</v>
      </c>
      <c r="F788" t="s">
        <v>16</v>
      </c>
      <c r="G788" s="684">
        <v>1</v>
      </c>
      <c r="H788" s="684">
        <v>37.39</v>
      </c>
      <c r="I788" t="s">
        <v>700</v>
      </c>
    </row>
    <row r="789" spans="1:9">
      <c r="A789" s="177">
        <v>45108</v>
      </c>
      <c r="B789" t="s">
        <v>581</v>
      </c>
      <c r="C789" t="s">
        <v>575</v>
      </c>
      <c r="D789" s="684">
        <v>2</v>
      </c>
      <c r="E789" s="684">
        <v>2</v>
      </c>
      <c r="F789" t="s">
        <v>17</v>
      </c>
      <c r="G789" s="684">
        <v>1.0789</v>
      </c>
      <c r="H789" s="684">
        <v>40.340000000000003</v>
      </c>
      <c r="I789" t="s">
        <v>700</v>
      </c>
    </row>
    <row r="790" spans="1:9">
      <c r="A790" s="177">
        <v>45108</v>
      </c>
      <c r="B790" t="s">
        <v>581</v>
      </c>
      <c r="C790" t="s">
        <v>575</v>
      </c>
      <c r="D790" s="684">
        <v>2</v>
      </c>
      <c r="E790" s="684">
        <v>2</v>
      </c>
      <c r="F790" t="s">
        <v>18</v>
      </c>
      <c r="G790" s="684">
        <v>1</v>
      </c>
      <c r="H790" s="684">
        <v>37.39</v>
      </c>
      <c r="I790" t="s">
        <v>700</v>
      </c>
    </row>
    <row r="791" spans="1:9">
      <c r="A791" s="177">
        <v>45108</v>
      </c>
      <c r="B791" t="s">
        <v>581</v>
      </c>
      <c r="C791" t="s">
        <v>575</v>
      </c>
      <c r="D791" s="684">
        <v>2</v>
      </c>
      <c r="E791" s="684">
        <v>2</v>
      </c>
      <c r="F791" t="s">
        <v>19</v>
      </c>
      <c r="G791" s="684">
        <v>1</v>
      </c>
      <c r="H791" s="684">
        <v>37.39</v>
      </c>
      <c r="I791" t="s">
        <v>700</v>
      </c>
    </row>
    <row r="792" spans="1:9">
      <c r="A792" s="177">
        <v>45108</v>
      </c>
      <c r="B792" t="s">
        <v>581</v>
      </c>
      <c r="C792" t="s">
        <v>575</v>
      </c>
      <c r="D792" s="684">
        <v>2</v>
      </c>
      <c r="E792" s="684">
        <v>2</v>
      </c>
      <c r="F792" t="s">
        <v>20</v>
      </c>
      <c r="G792" s="684">
        <v>1.0629</v>
      </c>
      <c r="H792" s="684">
        <v>39.74</v>
      </c>
      <c r="I792" t="s">
        <v>700</v>
      </c>
    </row>
    <row r="793" spans="1:9">
      <c r="A793" s="177">
        <v>45108</v>
      </c>
      <c r="B793" t="s">
        <v>581</v>
      </c>
      <c r="C793" t="s">
        <v>575</v>
      </c>
      <c r="D793" s="684">
        <v>2</v>
      </c>
      <c r="E793" s="684">
        <v>2</v>
      </c>
      <c r="F793" t="s">
        <v>21</v>
      </c>
      <c r="G793" s="684">
        <v>1</v>
      </c>
      <c r="H793" s="684">
        <v>37.39</v>
      </c>
      <c r="I793" t="s">
        <v>700</v>
      </c>
    </row>
    <row r="794" spans="1:9">
      <c r="A794" s="177">
        <v>45108</v>
      </c>
      <c r="B794" t="s">
        <v>582</v>
      </c>
      <c r="C794" t="s">
        <v>575</v>
      </c>
      <c r="D794" s="684">
        <v>2</v>
      </c>
      <c r="E794" s="684">
        <v>3</v>
      </c>
      <c r="F794" t="s">
        <v>16</v>
      </c>
      <c r="G794" s="684">
        <v>1</v>
      </c>
      <c r="H794" s="684">
        <v>42.28</v>
      </c>
      <c r="I794" t="s">
        <v>700</v>
      </c>
    </row>
    <row r="795" spans="1:9">
      <c r="A795" s="177">
        <v>45108</v>
      </c>
      <c r="B795" t="s">
        <v>582</v>
      </c>
      <c r="C795" t="s">
        <v>575</v>
      </c>
      <c r="D795" s="684">
        <v>2</v>
      </c>
      <c r="E795" s="684">
        <v>3</v>
      </c>
      <c r="F795" t="s">
        <v>17</v>
      </c>
      <c r="G795" s="684">
        <v>1.0789</v>
      </c>
      <c r="H795" s="684">
        <v>45.62</v>
      </c>
      <c r="I795" t="s">
        <v>700</v>
      </c>
    </row>
    <row r="796" spans="1:9">
      <c r="A796" s="177">
        <v>45108</v>
      </c>
      <c r="B796" t="s">
        <v>582</v>
      </c>
      <c r="C796" t="s">
        <v>575</v>
      </c>
      <c r="D796" s="684">
        <v>2</v>
      </c>
      <c r="E796" s="684">
        <v>3</v>
      </c>
      <c r="F796" t="s">
        <v>18</v>
      </c>
      <c r="G796" s="684">
        <v>1</v>
      </c>
      <c r="H796" s="684">
        <v>42.28</v>
      </c>
      <c r="I796" t="s">
        <v>700</v>
      </c>
    </row>
    <row r="797" spans="1:9">
      <c r="A797" s="177">
        <v>45108</v>
      </c>
      <c r="B797" t="s">
        <v>582</v>
      </c>
      <c r="C797" t="s">
        <v>575</v>
      </c>
      <c r="D797" s="684">
        <v>2</v>
      </c>
      <c r="E797" s="684">
        <v>3</v>
      </c>
      <c r="F797" t="s">
        <v>19</v>
      </c>
      <c r="G797" s="684">
        <v>1</v>
      </c>
      <c r="H797" s="684">
        <v>42.28</v>
      </c>
      <c r="I797" t="s">
        <v>700</v>
      </c>
    </row>
    <row r="798" spans="1:9">
      <c r="A798" s="177">
        <v>45108</v>
      </c>
      <c r="B798" t="s">
        <v>582</v>
      </c>
      <c r="C798" t="s">
        <v>575</v>
      </c>
      <c r="D798" s="684">
        <v>2</v>
      </c>
      <c r="E798" s="684">
        <v>3</v>
      </c>
      <c r="F798" t="s">
        <v>20</v>
      </c>
      <c r="G798" s="684">
        <v>1.0629</v>
      </c>
      <c r="H798" s="684">
        <v>44.94</v>
      </c>
      <c r="I798" t="s">
        <v>700</v>
      </c>
    </row>
    <row r="799" spans="1:9">
      <c r="A799" s="177">
        <v>45108</v>
      </c>
      <c r="B799" t="s">
        <v>582</v>
      </c>
      <c r="C799" t="s">
        <v>575</v>
      </c>
      <c r="D799" s="684">
        <v>2</v>
      </c>
      <c r="E799" s="684">
        <v>3</v>
      </c>
      <c r="F799" t="s">
        <v>21</v>
      </c>
      <c r="G799" s="684">
        <v>1</v>
      </c>
      <c r="H799" s="684">
        <v>42.28</v>
      </c>
      <c r="I799" t="s">
        <v>700</v>
      </c>
    </row>
    <row r="800" spans="1:9">
      <c r="A800" s="177">
        <v>45108</v>
      </c>
      <c r="B800" t="s">
        <v>583</v>
      </c>
      <c r="C800" t="s">
        <v>575</v>
      </c>
      <c r="D800" s="684">
        <v>2</v>
      </c>
      <c r="E800" s="684">
        <v>4</v>
      </c>
      <c r="F800" t="s">
        <v>16</v>
      </c>
      <c r="G800" s="684">
        <v>1</v>
      </c>
      <c r="H800" s="684">
        <v>48.78</v>
      </c>
      <c r="I800" t="s">
        <v>700</v>
      </c>
    </row>
    <row r="801" spans="1:9">
      <c r="A801" s="177">
        <v>45108</v>
      </c>
      <c r="B801" t="s">
        <v>583</v>
      </c>
      <c r="C801" t="s">
        <v>575</v>
      </c>
      <c r="D801" s="684">
        <v>2</v>
      </c>
      <c r="E801" s="684">
        <v>4</v>
      </c>
      <c r="F801" t="s">
        <v>17</v>
      </c>
      <c r="G801" s="684">
        <v>1.0789</v>
      </c>
      <c r="H801" s="684">
        <v>52.63</v>
      </c>
      <c r="I801" t="s">
        <v>700</v>
      </c>
    </row>
    <row r="802" spans="1:9">
      <c r="A802" s="177">
        <v>45108</v>
      </c>
      <c r="B802" t="s">
        <v>583</v>
      </c>
      <c r="C802" t="s">
        <v>575</v>
      </c>
      <c r="D802" s="684">
        <v>2</v>
      </c>
      <c r="E802" s="684">
        <v>4</v>
      </c>
      <c r="F802" t="s">
        <v>18</v>
      </c>
      <c r="G802" s="684">
        <v>1</v>
      </c>
      <c r="H802" s="684">
        <v>48.78</v>
      </c>
      <c r="I802" t="s">
        <v>700</v>
      </c>
    </row>
    <row r="803" spans="1:9">
      <c r="A803" s="177">
        <v>45108</v>
      </c>
      <c r="B803" t="s">
        <v>583</v>
      </c>
      <c r="C803" t="s">
        <v>575</v>
      </c>
      <c r="D803" s="684">
        <v>2</v>
      </c>
      <c r="E803" s="684">
        <v>4</v>
      </c>
      <c r="F803" t="s">
        <v>19</v>
      </c>
      <c r="G803" s="684">
        <v>1</v>
      </c>
      <c r="H803" s="684">
        <v>48.78</v>
      </c>
      <c r="I803" t="s">
        <v>700</v>
      </c>
    </row>
    <row r="804" spans="1:9">
      <c r="A804" s="177">
        <v>45108</v>
      </c>
      <c r="B804" t="s">
        <v>583</v>
      </c>
      <c r="C804" t="s">
        <v>575</v>
      </c>
      <c r="D804" s="684">
        <v>2</v>
      </c>
      <c r="E804" s="684">
        <v>4</v>
      </c>
      <c r="F804" t="s">
        <v>20</v>
      </c>
      <c r="G804" s="684">
        <v>1.0629</v>
      </c>
      <c r="H804" s="684">
        <v>51.85</v>
      </c>
      <c r="I804" t="s">
        <v>700</v>
      </c>
    </row>
    <row r="805" spans="1:9">
      <c r="A805" s="177">
        <v>45108</v>
      </c>
      <c r="B805" t="s">
        <v>583</v>
      </c>
      <c r="C805" t="s">
        <v>575</v>
      </c>
      <c r="D805" s="684">
        <v>2</v>
      </c>
      <c r="E805" s="684">
        <v>4</v>
      </c>
      <c r="F805" t="s">
        <v>21</v>
      </c>
      <c r="G805" s="684">
        <v>1</v>
      </c>
      <c r="H805" s="684">
        <v>48.78</v>
      </c>
      <c r="I805" t="s">
        <v>700</v>
      </c>
    </row>
    <row r="806" spans="1:9">
      <c r="A806" s="177">
        <v>45108</v>
      </c>
      <c r="B806" t="s">
        <v>584</v>
      </c>
      <c r="C806" t="s">
        <v>575</v>
      </c>
      <c r="D806" s="684">
        <v>2</v>
      </c>
      <c r="E806" s="684">
        <v>5</v>
      </c>
      <c r="F806" t="s">
        <v>16</v>
      </c>
      <c r="G806" s="684">
        <v>1</v>
      </c>
      <c r="H806" s="684">
        <v>54.56</v>
      </c>
      <c r="I806" t="s">
        <v>700</v>
      </c>
    </row>
    <row r="807" spans="1:9">
      <c r="A807" s="177">
        <v>45108</v>
      </c>
      <c r="B807" t="s">
        <v>584</v>
      </c>
      <c r="C807" t="s">
        <v>575</v>
      </c>
      <c r="D807" s="684">
        <v>2</v>
      </c>
      <c r="E807" s="684">
        <v>5</v>
      </c>
      <c r="F807" t="s">
        <v>17</v>
      </c>
      <c r="G807" s="684">
        <v>1.0789</v>
      </c>
      <c r="H807" s="684">
        <v>58.86</v>
      </c>
      <c r="I807" t="s">
        <v>700</v>
      </c>
    </row>
    <row r="808" spans="1:9">
      <c r="A808" s="177">
        <v>45108</v>
      </c>
      <c r="B808" t="s">
        <v>584</v>
      </c>
      <c r="C808" t="s">
        <v>575</v>
      </c>
      <c r="D808" s="684">
        <v>2</v>
      </c>
      <c r="E808" s="684">
        <v>5</v>
      </c>
      <c r="F808" t="s">
        <v>18</v>
      </c>
      <c r="G808" s="684">
        <v>1</v>
      </c>
      <c r="H808" s="684">
        <v>54.56</v>
      </c>
      <c r="I808" t="s">
        <v>700</v>
      </c>
    </row>
    <row r="809" spans="1:9">
      <c r="A809" s="177">
        <v>45108</v>
      </c>
      <c r="B809" t="s">
        <v>584</v>
      </c>
      <c r="C809" t="s">
        <v>575</v>
      </c>
      <c r="D809" s="684">
        <v>2</v>
      </c>
      <c r="E809" s="684">
        <v>5</v>
      </c>
      <c r="F809" t="s">
        <v>19</v>
      </c>
      <c r="G809" s="684">
        <v>1</v>
      </c>
      <c r="H809" s="684">
        <v>54.56</v>
      </c>
      <c r="I809" t="s">
        <v>700</v>
      </c>
    </row>
    <row r="810" spans="1:9">
      <c r="A810" s="177">
        <v>45108</v>
      </c>
      <c r="B810" t="s">
        <v>584</v>
      </c>
      <c r="C810" t="s">
        <v>575</v>
      </c>
      <c r="D810" s="684">
        <v>2</v>
      </c>
      <c r="E810" s="684">
        <v>5</v>
      </c>
      <c r="F810" t="s">
        <v>20</v>
      </c>
      <c r="G810" s="684">
        <v>1.0629</v>
      </c>
      <c r="H810" s="684">
        <v>57.99</v>
      </c>
      <c r="I810" t="s">
        <v>700</v>
      </c>
    </row>
    <row r="811" spans="1:9">
      <c r="A811" s="177">
        <v>45108</v>
      </c>
      <c r="B811" t="s">
        <v>584</v>
      </c>
      <c r="C811" t="s">
        <v>575</v>
      </c>
      <c r="D811" s="684">
        <v>2</v>
      </c>
      <c r="E811" s="684">
        <v>5</v>
      </c>
      <c r="F811" t="s">
        <v>21</v>
      </c>
      <c r="G811" s="684">
        <v>1</v>
      </c>
      <c r="H811" s="684">
        <v>54.56</v>
      </c>
      <c r="I811" t="s">
        <v>700</v>
      </c>
    </row>
    <row r="812" spans="1:9">
      <c r="A812" s="177">
        <v>45108</v>
      </c>
      <c r="B812" t="s">
        <v>585</v>
      </c>
      <c r="C812" t="s">
        <v>575</v>
      </c>
      <c r="D812" s="684">
        <v>3</v>
      </c>
      <c r="E812" s="684">
        <v>1</v>
      </c>
      <c r="F812" t="s">
        <v>16</v>
      </c>
      <c r="G812" s="684">
        <v>1</v>
      </c>
      <c r="H812" s="684">
        <v>45.32</v>
      </c>
      <c r="I812" t="s">
        <v>700</v>
      </c>
    </row>
    <row r="813" spans="1:9">
      <c r="A813" s="177">
        <v>45108</v>
      </c>
      <c r="B813" t="s">
        <v>585</v>
      </c>
      <c r="C813" t="s">
        <v>575</v>
      </c>
      <c r="D813" s="684">
        <v>3</v>
      </c>
      <c r="E813" s="684">
        <v>1</v>
      </c>
      <c r="F813" t="s">
        <v>17</v>
      </c>
      <c r="G813" s="684">
        <v>1.0789</v>
      </c>
      <c r="H813" s="684">
        <v>48.9</v>
      </c>
      <c r="I813" t="s">
        <v>700</v>
      </c>
    </row>
    <row r="814" spans="1:9">
      <c r="A814" s="177">
        <v>45108</v>
      </c>
      <c r="B814" t="s">
        <v>585</v>
      </c>
      <c r="C814" t="s">
        <v>575</v>
      </c>
      <c r="D814" s="684">
        <v>3</v>
      </c>
      <c r="E814" s="684">
        <v>1</v>
      </c>
      <c r="F814" t="s">
        <v>18</v>
      </c>
      <c r="G814" s="684">
        <v>1</v>
      </c>
      <c r="H814" s="684">
        <v>45.32</v>
      </c>
      <c r="I814" t="s">
        <v>700</v>
      </c>
    </row>
    <row r="815" spans="1:9">
      <c r="A815" s="177">
        <v>45108</v>
      </c>
      <c r="B815" t="s">
        <v>585</v>
      </c>
      <c r="C815" t="s">
        <v>575</v>
      </c>
      <c r="D815" s="684">
        <v>3</v>
      </c>
      <c r="E815" s="684">
        <v>1</v>
      </c>
      <c r="F815" t="s">
        <v>19</v>
      </c>
      <c r="G815" s="684">
        <v>1</v>
      </c>
      <c r="H815" s="684">
        <v>45.32</v>
      </c>
      <c r="I815" t="s">
        <v>700</v>
      </c>
    </row>
    <row r="816" spans="1:9">
      <c r="A816" s="177">
        <v>45108</v>
      </c>
      <c r="B816" t="s">
        <v>585</v>
      </c>
      <c r="C816" t="s">
        <v>575</v>
      </c>
      <c r="D816" s="684">
        <v>3</v>
      </c>
      <c r="E816" s="684">
        <v>1</v>
      </c>
      <c r="F816" t="s">
        <v>20</v>
      </c>
      <c r="G816" s="684">
        <v>1.0629</v>
      </c>
      <c r="H816" s="684">
        <v>48.17</v>
      </c>
      <c r="I816" t="s">
        <v>700</v>
      </c>
    </row>
    <row r="817" spans="1:9">
      <c r="A817" s="177">
        <v>45108</v>
      </c>
      <c r="B817" t="s">
        <v>585</v>
      </c>
      <c r="C817" t="s">
        <v>575</v>
      </c>
      <c r="D817" s="684">
        <v>3</v>
      </c>
      <c r="E817" s="684">
        <v>1</v>
      </c>
      <c r="F817" t="s">
        <v>21</v>
      </c>
      <c r="G817" s="684">
        <v>1</v>
      </c>
      <c r="H817" s="684">
        <v>45.32</v>
      </c>
      <c r="I817" t="s">
        <v>700</v>
      </c>
    </row>
    <row r="818" spans="1:9">
      <c r="A818" s="177">
        <v>45108</v>
      </c>
      <c r="B818" t="s">
        <v>586</v>
      </c>
      <c r="C818" t="s">
        <v>575</v>
      </c>
      <c r="D818" s="684">
        <v>3</v>
      </c>
      <c r="E818" s="684">
        <v>2</v>
      </c>
      <c r="F818" t="s">
        <v>16</v>
      </c>
      <c r="G818" s="684">
        <v>1</v>
      </c>
      <c r="H818" s="684">
        <v>48.34</v>
      </c>
      <c r="I818" t="s">
        <v>700</v>
      </c>
    </row>
    <row r="819" spans="1:9">
      <c r="A819" s="177">
        <v>45108</v>
      </c>
      <c r="B819" t="s">
        <v>586</v>
      </c>
      <c r="C819" t="s">
        <v>575</v>
      </c>
      <c r="D819" s="684">
        <v>3</v>
      </c>
      <c r="E819" s="684">
        <v>2</v>
      </c>
      <c r="F819" t="s">
        <v>17</v>
      </c>
      <c r="G819" s="684">
        <v>1.0789</v>
      </c>
      <c r="H819" s="684">
        <v>52.15</v>
      </c>
      <c r="I819" t="s">
        <v>700</v>
      </c>
    </row>
    <row r="820" spans="1:9">
      <c r="A820" s="177">
        <v>45108</v>
      </c>
      <c r="B820" t="s">
        <v>586</v>
      </c>
      <c r="C820" t="s">
        <v>575</v>
      </c>
      <c r="D820" s="684">
        <v>3</v>
      </c>
      <c r="E820" s="684">
        <v>2</v>
      </c>
      <c r="F820" t="s">
        <v>18</v>
      </c>
      <c r="G820" s="684">
        <v>1</v>
      </c>
      <c r="H820" s="684">
        <v>48.34</v>
      </c>
      <c r="I820" t="s">
        <v>700</v>
      </c>
    </row>
    <row r="821" spans="1:9">
      <c r="A821" s="177">
        <v>45108</v>
      </c>
      <c r="B821" t="s">
        <v>586</v>
      </c>
      <c r="C821" t="s">
        <v>575</v>
      </c>
      <c r="D821" s="684">
        <v>3</v>
      </c>
      <c r="E821" s="684">
        <v>2</v>
      </c>
      <c r="F821" t="s">
        <v>19</v>
      </c>
      <c r="G821" s="684">
        <v>1</v>
      </c>
      <c r="H821" s="684">
        <v>48.34</v>
      </c>
      <c r="I821" t="s">
        <v>700</v>
      </c>
    </row>
    <row r="822" spans="1:9">
      <c r="A822" s="177">
        <v>45108</v>
      </c>
      <c r="B822" t="s">
        <v>586</v>
      </c>
      <c r="C822" t="s">
        <v>575</v>
      </c>
      <c r="D822" s="684">
        <v>3</v>
      </c>
      <c r="E822" s="684">
        <v>2</v>
      </c>
      <c r="F822" t="s">
        <v>20</v>
      </c>
      <c r="G822" s="684">
        <v>1.0629</v>
      </c>
      <c r="H822" s="684">
        <v>51.38</v>
      </c>
      <c r="I822" t="s">
        <v>700</v>
      </c>
    </row>
    <row r="823" spans="1:9">
      <c r="A823" s="177">
        <v>45108</v>
      </c>
      <c r="B823" t="s">
        <v>586</v>
      </c>
      <c r="C823" t="s">
        <v>575</v>
      </c>
      <c r="D823" s="684">
        <v>3</v>
      </c>
      <c r="E823" s="684">
        <v>2</v>
      </c>
      <c r="F823" t="s">
        <v>21</v>
      </c>
      <c r="G823" s="684">
        <v>1</v>
      </c>
      <c r="H823" s="684">
        <v>48.34</v>
      </c>
      <c r="I823" t="s">
        <v>700</v>
      </c>
    </row>
    <row r="824" spans="1:9">
      <c r="A824" s="177">
        <v>45108</v>
      </c>
      <c r="B824" t="s">
        <v>587</v>
      </c>
      <c r="C824" t="s">
        <v>575</v>
      </c>
      <c r="D824" s="684">
        <v>3</v>
      </c>
      <c r="E824" s="684">
        <v>3</v>
      </c>
      <c r="F824" t="s">
        <v>16</v>
      </c>
      <c r="G824" s="684">
        <v>1</v>
      </c>
      <c r="H824" s="684">
        <v>53.2</v>
      </c>
      <c r="I824" t="s">
        <v>700</v>
      </c>
    </row>
    <row r="825" spans="1:9">
      <c r="A825" s="177">
        <v>45108</v>
      </c>
      <c r="B825" t="s">
        <v>587</v>
      </c>
      <c r="C825" t="s">
        <v>575</v>
      </c>
      <c r="D825" s="684">
        <v>3</v>
      </c>
      <c r="E825" s="684">
        <v>3</v>
      </c>
      <c r="F825" t="s">
        <v>17</v>
      </c>
      <c r="G825" s="684">
        <v>1.0789</v>
      </c>
      <c r="H825" s="684">
        <v>57.4</v>
      </c>
      <c r="I825" t="s">
        <v>700</v>
      </c>
    </row>
    <row r="826" spans="1:9">
      <c r="A826" s="177">
        <v>45108</v>
      </c>
      <c r="B826" t="s">
        <v>587</v>
      </c>
      <c r="C826" t="s">
        <v>575</v>
      </c>
      <c r="D826" s="684">
        <v>3</v>
      </c>
      <c r="E826" s="684">
        <v>3</v>
      </c>
      <c r="F826" t="s">
        <v>18</v>
      </c>
      <c r="G826" s="684">
        <v>1</v>
      </c>
      <c r="H826" s="684">
        <v>53.2</v>
      </c>
      <c r="I826" t="s">
        <v>700</v>
      </c>
    </row>
    <row r="827" spans="1:9">
      <c r="A827" s="177">
        <v>45108</v>
      </c>
      <c r="B827" t="s">
        <v>587</v>
      </c>
      <c r="C827" t="s">
        <v>575</v>
      </c>
      <c r="D827" s="684">
        <v>3</v>
      </c>
      <c r="E827" s="684">
        <v>3</v>
      </c>
      <c r="F827" t="s">
        <v>19</v>
      </c>
      <c r="G827" s="684">
        <v>1</v>
      </c>
      <c r="H827" s="684">
        <v>53.2</v>
      </c>
      <c r="I827" t="s">
        <v>700</v>
      </c>
    </row>
    <row r="828" spans="1:9">
      <c r="A828" s="177">
        <v>45108</v>
      </c>
      <c r="B828" t="s">
        <v>587</v>
      </c>
      <c r="C828" t="s">
        <v>575</v>
      </c>
      <c r="D828" s="684">
        <v>3</v>
      </c>
      <c r="E828" s="684">
        <v>3</v>
      </c>
      <c r="F828" t="s">
        <v>20</v>
      </c>
      <c r="G828" s="684">
        <v>1.0629</v>
      </c>
      <c r="H828" s="684">
        <v>56.55</v>
      </c>
      <c r="I828" t="s">
        <v>700</v>
      </c>
    </row>
    <row r="829" spans="1:9">
      <c r="A829" s="177">
        <v>45108</v>
      </c>
      <c r="B829" t="s">
        <v>587</v>
      </c>
      <c r="C829" t="s">
        <v>575</v>
      </c>
      <c r="D829" s="684">
        <v>3</v>
      </c>
      <c r="E829" s="684">
        <v>3</v>
      </c>
      <c r="F829" t="s">
        <v>21</v>
      </c>
      <c r="G829" s="684">
        <v>1</v>
      </c>
      <c r="H829" s="684">
        <v>53.2</v>
      </c>
      <c r="I829" t="s">
        <v>700</v>
      </c>
    </row>
    <row r="830" spans="1:9">
      <c r="A830" s="177">
        <v>45108</v>
      </c>
      <c r="B830" t="s">
        <v>588</v>
      </c>
      <c r="C830" t="s">
        <v>575</v>
      </c>
      <c r="D830" s="684">
        <v>3</v>
      </c>
      <c r="E830" s="684">
        <v>4</v>
      </c>
      <c r="F830" t="s">
        <v>16</v>
      </c>
      <c r="G830" s="684">
        <v>1</v>
      </c>
      <c r="H830" s="684">
        <v>59.72</v>
      </c>
      <c r="I830" t="s">
        <v>700</v>
      </c>
    </row>
    <row r="831" spans="1:9">
      <c r="A831" s="177">
        <v>45108</v>
      </c>
      <c r="B831" t="s">
        <v>588</v>
      </c>
      <c r="C831" t="s">
        <v>575</v>
      </c>
      <c r="D831" s="684">
        <v>3</v>
      </c>
      <c r="E831" s="684">
        <v>4</v>
      </c>
      <c r="F831" t="s">
        <v>17</v>
      </c>
      <c r="G831" s="684">
        <v>1.0789</v>
      </c>
      <c r="H831" s="684">
        <v>64.430000000000007</v>
      </c>
      <c r="I831" t="s">
        <v>700</v>
      </c>
    </row>
    <row r="832" spans="1:9">
      <c r="A832" s="177">
        <v>45108</v>
      </c>
      <c r="B832" t="s">
        <v>588</v>
      </c>
      <c r="C832" t="s">
        <v>575</v>
      </c>
      <c r="D832" s="684">
        <v>3</v>
      </c>
      <c r="E832" s="684">
        <v>4</v>
      </c>
      <c r="F832" t="s">
        <v>18</v>
      </c>
      <c r="G832" s="684">
        <v>1</v>
      </c>
      <c r="H832" s="684">
        <v>59.72</v>
      </c>
      <c r="I832" t="s">
        <v>700</v>
      </c>
    </row>
    <row r="833" spans="1:9">
      <c r="A833" s="177">
        <v>45108</v>
      </c>
      <c r="B833" t="s">
        <v>588</v>
      </c>
      <c r="C833" t="s">
        <v>575</v>
      </c>
      <c r="D833" s="684">
        <v>3</v>
      </c>
      <c r="E833" s="684">
        <v>4</v>
      </c>
      <c r="F833" t="s">
        <v>19</v>
      </c>
      <c r="G833" s="684">
        <v>1</v>
      </c>
      <c r="H833" s="684">
        <v>59.72</v>
      </c>
      <c r="I833" t="s">
        <v>700</v>
      </c>
    </row>
    <row r="834" spans="1:9">
      <c r="A834" s="177">
        <v>45108</v>
      </c>
      <c r="B834" t="s">
        <v>588</v>
      </c>
      <c r="C834" t="s">
        <v>575</v>
      </c>
      <c r="D834" s="684">
        <v>3</v>
      </c>
      <c r="E834" s="684">
        <v>4</v>
      </c>
      <c r="F834" t="s">
        <v>20</v>
      </c>
      <c r="G834" s="684">
        <v>1.0629</v>
      </c>
      <c r="H834" s="684">
        <v>63.48</v>
      </c>
      <c r="I834" t="s">
        <v>700</v>
      </c>
    </row>
    <row r="835" spans="1:9">
      <c r="A835" s="177">
        <v>45108</v>
      </c>
      <c r="B835" t="s">
        <v>588</v>
      </c>
      <c r="C835" t="s">
        <v>575</v>
      </c>
      <c r="D835" s="684">
        <v>3</v>
      </c>
      <c r="E835" s="684">
        <v>4</v>
      </c>
      <c r="F835" t="s">
        <v>21</v>
      </c>
      <c r="G835" s="684">
        <v>1</v>
      </c>
      <c r="H835" s="684">
        <v>59.72</v>
      </c>
      <c r="I835" t="s">
        <v>700</v>
      </c>
    </row>
    <row r="836" spans="1:9">
      <c r="A836" s="177">
        <v>45108</v>
      </c>
      <c r="B836" t="s">
        <v>589</v>
      </c>
      <c r="C836" t="s">
        <v>575</v>
      </c>
      <c r="D836" s="684">
        <v>3</v>
      </c>
      <c r="E836" s="684">
        <v>5</v>
      </c>
      <c r="F836" t="s">
        <v>16</v>
      </c>
      <c r="G836" s="684">
        <v>1</v>
      </c>
      <c r="H836" s="684">
        <v>65.489999999999995</v>
      </c>
      <c r="I836" t="s">
        <v>700</v>
      </c>
    </row>
    <row r="837" spans="1:9">
      <c r="A837" s="177">
        <v>45108</v>
      </c>
      <c r="B837" t="s">
        <v>589</v>
      </c>
      <c r="C837" t="s">
        <v>575</v>
      </c>
      <c r="D837" s="684">
        <v>3</v>
      </c>
      <c r="E837" s="684">
        <v>5</v>
      </c>
      <c r="F837" t="s">
        <v>17</v>
      </c>
      <c r="G837" s="684">
        <v>1.0789</v>
      </c>
      <c r="H837" s="684">
        <v>70.66</v>
      </c>
      <c r="I837" t="s">
        <v>700</v>
      </c>
    </row>
    <row r="838" spans="1:9">
      <c r="A838" s="177">
        <v>45108</v>
      </c>
      <c r="B838" t="s">
        <v>589</v>
      </c>
      <c r="C838" t="s">
        <v>575</v>
      </c>
      <c r="D838" s="684">
        <v>3</v>
      </c>
      <c r="E838" s="684">
        <v>5</v>
      </c>
      <c r="F838" t="s">
        <v>18</v>
      </c>
      <c r="G838" s="684">
        <v>1</v>
      </c>
      <c r="H838" s="684">
        <v>65.489999999999995</v>
      </c>
      <c r="I838" t="s">
        <v>700</v>
      </c>
    </row>
    <row r="839" spans="1:9">
      <c r="A839" s="177">
        <v>45108</v>
      </c>
      <c r="B839" t="s">
        <v>589</v>
      </c>
      <c r="C839" t="s">
        <v>575</v>
      </c>
      <c r="D839" s="684">
        <v>3</v>
      </c>
      <c r="E839" s="684">
        <v>5</v>
      </c>
      <c r="F839" t="s">
        <v>19</v>
      </c>
      <c r="G839" s="684">
        <v>1</v>
      </c>
      <c r="H839" s="684">
        <v>65.489999999999995</v>
      </c>
      <c r="I839" t="s">
        <v>700</v>
      </c>
    </row>
    <row r="840" spans="1:9">
      <c r="A840" s="177">
        <v>45108</v>
      </c>
      <c r="B840" t="s">
        <v>589</v>
      </c>
      <c r="C840" t="s">
        <v>575</v>
      </c>
      <c r="D840" s="684">
        <v>3</v>
      </c>
      <c r="E840" s="684">
        <v>5</v>
      </c>
      <c r="F840" t="s">
        <v>20</v>
      </c>
      <c r="G840" s="684">
        <v>1.0629</v>
      </c>
      <c r="H840" s="684">
        <v>69.61</v>
      </c>
      <c r="I840" t="s">
        <v>700</v>
      </c>
    </row>
    <row r="841" spans="1:9">
      <c r="A841" s="177">
        <v>45108</v>
      </c>
      <c r="B841" t="s">
        <v>589</v>
      </c>
      <c r="C841" t="s">
        <v>575</v>
      </c>
      <c r="D841" s="684">
        <v>3</v>
      </c>
      <c r="E841" s="684">
        <v>5</v>
      </c>
      <c r="F841" t="s">
        <v>21</v>
      </c>
      <c r="G841" s="684">
        <v>1</v>
      </c>
      <c r="H841" s="684">
        <v>65.489999999999995</v>
      </c>
      <c r="I841" t="s">
        <v>700</v>
      </c>
    </row>
    <row r="842" spans="1:9">
      <c r="A842" s="177">
        <v>45108</v>
      </c>
      <c r="B842" t="s">
        <v>590</v>
      </c>
      <c r="C842" t="s">
        <v>575</v>
      </c>
      <c r="D842" s="684">
        <v>4</v>
      </c>
      <c r="E842" s="684">
        <v>1</v>
      </c>
      <c r="F842" t="s">
        <v>16</v>
      </c>
      <c r="G842" s="684">
        <v>1</v>
      </c>
      <c r="H842" s="684">
        <v>56.54</v>
      </c>
      <c r="I842" t="s">
        <v>700</v>
      </c>
    </row>
    <row r="843" spans="1:9">
      <c r="A843" s="177">
        <v>45108</v>
      </c>
      <c r="B843" t="s">
        <v>590</v>
      </c>
      <c r="C843" t="s">
        <v>575</v>
      </c>
      <c r="D843" s="684">
        <v>4</v>
      </c>
      <c r="E843" s="684">
        <v>1</v>
      </c>
      <c r="F843" t="s">
        <v>17</v>
      </c>
      <c r="G843" s="684">
        <v>1.0789</v>
      </c>
      <c r="H843" s="684">
        <v>61</v>
      </c>
      <c r="I843" t="s">
        <v>700</v>
      </c>
    </row>
    <row r="844" spans="1:9">
      <c r="A844" s="177">
        <v>45108</v>
      </c>
      <c r="B844" t="s">
        <v>590</v>
      </c>
      <c r="C844" t="s">
        <v>575</v>
      </c>
      <c r="D844" s="684">
        <v>4</v>
      </c>
      <c r="E844" s="684">
        <v>1</v>
      </c>
      <c r="F844" t="s">
        <v>18</v>
      </c>
      <c r="G844" s="684">
        <v>1</v>
      </c>
      <c r="H844" s="684">
        <v>56.54</v>
      </c>
      <c r="I844" t="s">
        <v>700</v>
      </c>
    </row>
    <row r="845" spans="1:9">
      <c r="A845" s="177">
        <v>45108</v>
      </c>
      <c r="B845" t="s">
        <v>590</v>
      </c>
      <c r="C845" t="s">
        <v>575</v>
      </c>
      <c r="D845" s="684">
        <v>4</v>
      </c>
      <c r="E845" s="684">
        <v>1</v>
      </c>
      <c r="F845" t="s">
        <v>19</v>
      </c>
      <c r="G845" s="684">
        <v>1</v>
      </c>
      <c r="H845" s="684">
        <v>56.54</v>
      </c>
      <c r="I845" t="s">
        <v>700</v>
      </c>
    </row>
    <row r="846" spans="1:9">
      <c r="A846" s="177">
        <v>45108</v>
      </c>
      <c r="B846" t="s">
        <v>590</v>
      </c>
      <c r="C846" t="s">
        <v>575</v>
      </c>
      <c r="D846" s="684">
        <v>4</v>
      </c>
      <c r="E846" s="684">
        <v>1</v>
      </c>
      <c r="F846" t="s">
        <v>20</v>
      </c>
      <c r="G846" s="684">
        <v>1.0629</v>
      </c>
      <c r="H846" s="684">
        <v>60.1</v>
      </c>
      <c r="I846" t="s">
        <v>700</v>
      </c>
    </row>
    <row r="847" spans="1:9">
      <c r="A847" s="177">
        <v>45108</v>
      </c>
      <c r="B847" t="s">
        <v>590</v>
      </c>
      <c r="C847" t="s">
        <v>575</v>
      </c>
      <c r="D847" s="684">
        <v>4</v>
      </c>
      <c r="E847" s="684">
        <v>1</v>
      </c>
      <c r="F847" t="s">
        <v>21</v>
      </c>
      <c r="G847" s="684">
        <v>1</v>
      </c>
      <c r="H847" s="684">
        <v>56.54</v>
      </c>
      <c r="I847" t="s">
        <v>700</v>
      </c>
    </row>
    <row r="848" spans="1:9">
      <c r="A848" s="177">
        <v>45108</v>
      </c>
      <c r="B848" t="s">
        <v>591</v>
      </c>
      <c r="C848" t="s">
        <v>575</v>
      </c>
      <c r="D848" s="684">
        <v>4</v>
      </c>
      <c r="E848" s="684">
        <v>2</v>
      </c>
      <c r="F848" t="s">
        <v>16</v>
      </c>
      <c r="G848" s="684">
        <v>1</v>
      </c>
      <c r="H848" s="684">
        <v>59.56</v>
      </c>
      <c r="I848" t="s">
        <v>700</v>
      </c>
    </row>
    <row r="849" spans="1:9">
      <c r="A849" s="177">
        <v>45108</v>
      </c>
      <c r="B849" t="s">
        <v>591</v>
      </c>
      <c r="C849" t="s">
        <v>575</v>
      </c>
      <c r="D849" s="684">
        <v>4</v>
      </c>
      <c r="E849" s="684">
        <v>2</v>
      </c>
      <c r="F849" t="s">
        <v>17</v>
      </c>
      <c r="G849" s="684">
        <v>1.0789</v>
      </c>
      <c r="H849" s="684">
        <v>64.260000000000005</v>
      </c>
      <c r="I849" t="s">
        <v>700</v>
      </c>
    </row>
    <row r="850" spans="1:9">
      <c r="A850" s="177">
        <v>45108</v>
      </c>
      <c r="B850" t="s">
        <v>591</v>
      </c>
      <c r="C850" t="s">
        <v>575</v>
      </c>
      <c r="D850" s="684">
        <v>4</v>
      </c>
      <c r="E850" s="684">
        <v>2</v>
      </c>
      <c r="F850" t="s">
        <v>18</v>
      </c>
      <c r="G850" s="684">
        <v>1</v>
      </c>
      <c r="H850" s="684">
        <v>59.56</v>
      </c>
      <c r="I850" t="s">
        <v>700</v>
      </c>
    </row>
    <row r="851" spans="1:9">
      <c r="A851" s="177">
        <v>45108</v>
      </c>
      <c r="B851" t="s">
        <v>591</v>
      </c>
      <c r="C851" t="s">
        <v>575</v>
      </c>
      <c r="D851" s="684">
        <v>4</v>
      </c>
      <c r="E851" s="684">
        <v>2</v>
      </c>
      <c r="F851" t="s">
        <v>19</v>
      </c>
      <c r="G851" s="684">
        <v>1</v>
      </c>
      <c r="H851" s="684">
        <v>59.56</v>
      </c>
      <c r="I851" t="s">
        <v>700</v>
      </c>
    </row>
    <row r="852" spans="1:9">
      <c r="A852" s="177">
        <v>45108</v>
      </c>
      <c r="B852" t="s">
        <v>591</v>
      </c>
      <c r="C852" t="s">
        <v>575</v>
      </c>
      <c r="D852" s="684">
        <v>4</v>
      </c>
      <c r="E852" s="684">
        <v>2</v>
      </c>
      <c r="F852" t="s">
        <v>20</v>
      </c>
      <c r="G852" s="684">
        <v>1.0629</v>
      </c>
      <c r="H852" s="684">
        <v>63.31</v>
      </c>
      <c r="I852" t="s">
        <v>700</v>
      </c>
    </row>
    <row r="853" spans="1:9">
      <c r="A853" s="177">
        <v>45108</v>
      </c>
      <c r="B853" t="s">
        <v>591</v>
      </c>
      <c r="C853" t="s">
        <v>575</v>
      </c>
      <c r="D853" s="684">
        <v>4</v>
      </c>
      <c r="E853" s="684">
        <v>2</v>
      </c>
      <c r="F853" t="s">
        <v>21</v>
      </c>
      <c r="G853" s="684">
        <v>1</v>
      </c>
      <c r="H853" s="684">
        <v>59.56</v>
      </c>
      <c r="I853" t="s">
        <v>700</v>
      </c>
    </row>
    <row r="854" spans="1:9">
      <c r="A854" s="177">
        <v>45108</v>
      </c>
      <c r="B854" t="s">
        <v>592</v>
      </c>
      <c r="C854" t="s">
        <v>575</v>
      </c>
      <c r="D854" s="684">
        <v>4</v>
      </c>
      <c r="E854" s="684">
        <v>3</v>
      </c>
      <c r="F854" t="s">
        <v>16</v>
      </c>
      <c r="G854" s="684">
        <v>1</v>
      </c>
      <c r="H854" s="684">
        <v>64.42</v>
      </c>
      <c r="I854" t="s">
        <v>700</v>
      </c>
    </row>
    <row r="855" spans="1:9">
      <c r="A855" s="177">
        <v>45108</v>
      </c>
      <c r="B855" t="s">
        <v>592</v>
      </c>
      <c r="C855" t="s">
        <v>575</v>
      </c>
      <c r="D855" s="684">
        <v>4</v>
      </c>
      <c r="E855" s="684">
        <v>3</v>
      </c>
      <c r="F855" t="s">
        <v>17</v>
      </c>
      <c r="G855" s="684">
        <v>1.0789</v>
      </c>
      <c r="H855" s="684">
        <v>69.5</v>
      </c>
      <c r="I855" t="s">
        <v>700</v>
      </c>
    </row>
    <row r="856" spans="1:9">
      <c r="A856" s="177">
        <v>45108</v>
      </c>
      <c r="B856" t="s">
        <v>592</v>
      </c>
      <c r="C856" t="s">
        <v>575</v>
      </c>
      <c r="D856" s="684">
        <v>4</v>
      </c>
      <c r="E856" s="684">
        <v>3</v>
      </c>
      <c r="F856" t="s">
        <v>18</v>
      </c>
      <c r="G856" s="684">
        <v>1</v>
      </c>
      <c r="H856" s="684">
        <v>64.42</v>
      </c>
      <c r="I856" t="s">
        <v>700</v>
      </c>
    </row>
    <row r="857" spans="1:9">
      <c r="A857" s="177">
        <v>45108</v>
      </c>
      <c r="B857" t="s">
        <v>592</v>
      </c>
      <c r="C857" t="s">
        <v>575</v>
      </c>
      <c r="D857" s="684">
        <v>4</v>
      </c>
      <c r="E857" s="684">
        <v>3</v>
      </c>
      <c r="F857" t="s">
        <v>19</v>
      </c>
      <c r="G857" s="684">
        <v>1</v>
      </c>
      <c r="H857" s="684">
        <v>64.42</v>
      </c>
      <c r="I857" t="s">
        <v>700</v>
      </c>
    </row>
    <row r="858" spans="1:9">
      <c r="A858" s="177">
        <v>45108</v>
      </c>
      <c r="B858" t="s">
        <v>592</v>
      </c>
      <c r="C858" t="s">
        <v>575</v>
      </c>
      <c r="D858" s="684">
        <v>4</v>
      </c>
      <c r="E858" s="684">
        <v>3</v>
      </c>
      <c r="F858" t="s">
        <v>20</v>
      </c>
      <c r="G858" s="684">
        <v>1.0629</v>
      </c>
      <c r="H858" s="684">
        <v>68.47</v>
      </c>
      <c r="I858" t="s">
        <v>700</v>
      </c>
    </row>
    <row r="859" spans="1:9">
      <c r="A859" s="177">
        <v>45108</v>
      </c>
      <c r="B859" t="s">
        <v>592</v>
      </c>
      <c r="C859" t="s">
        <v>575</v>
      </c>
      <c r="D859" s="684">
        <v>4</v>
      </c>
      <c r="E859" s="684">
        <v>3</v>
      </c>
      <c r="F859" t="s">
        <v>21</v>
      </c>
      <c r="G859" s="684">
        <v>1</v>
      </c>
      <c r="H859" s="684">
        <v>64.42</v>
      </c>
      <c r="I859" t="s">
        <v>700</v>
      </c>
    </row>
    <row r="860" spans="1:9">
      <c r="A860" s="177">
        <v>45108</v>
      </c>
      <c r="B860" t="s">
        <v>593</v>
      </c>
      <c r="C860" t="s">
        <v>575</v>
      </c>
      <c r="D860" s="684">
        <v>4</v>
      </c>
      <c r="E860" s="684">
        <v>4</v>
      </c>
      <c r="F860" t="s">
        <v>16</v>
      </c>
      <c r="G860" s="684">
        <v>1</v>
      </c>
      <c r="H860" s="684">
        <v>70.98</v>
      </c>
      <c r="I860" t="s">
        <v>700</v>
      </c>
    </row>
    <row r="861" spans="1:9">
      <c r="A861" s="177">
        <v>45108</v>
      </c>
      <c r="B861" t="s">
        <v>593</v>
      </c>
      <c r="C861" t="s">
        <v>575</v>
      </c>
      <c r="D861" s="684">
        <v>4</v>
      </c>
      <c r="E861" s="684">
        <v>4</v>
      </c>
      <c r="F861" t="s">
        <v>17</v>
      </c>
      <c r="G861" s="684">
        <v>1.0789</v>
      </c>
      <c r="H861" s="684">
        <v>76.58</v>
      </c>
      <c r="I861" t="s">
        <v>700</v>
      </c>
    </row>
    <row r="862" spans="1:9">
      <c r="A862" s="177">
        <v>45108</v>
      </c>
      <c r="B862" t="s">
        <v>593</v>
      </c>
      <c r="C862" t="s">
        <v>575</v>
      </c>
      <c r="D862" s="684">
        <v>4</v>
      </c>
      <c r="E862" s="684">
        <v>4</v>
      </c>
      <c r="F862" t="s">
        <v>18</v>
      </c>
      <c r="G862" s="684">
        <v>1</v>
      </c>
      <c r="H862" s="684">
        <v>70.98</v>
      </c>
      <c r="I862" t="s">
        <v>700</v>
      </c>
    </row>
    <row r="863" spans="1:9">
      <c r="A863" s="177">
        <v>45108</v>
      </c>
      <c r="B863" t="s">
        <v>593</v>
      </c>
      <c r="C863" t="s">
        <v>575</v>
      </c>
      <c r="D863" s="684">
        <v>4</v>
      </c>
      <c r="E863" s="684">
        <v>4</v>
      </c>
      <c r="F863" t="s">
        <v>19</v>
      </c>
      <c r="G863" s="684">
        <v>1</v>
      </c>
      <c r="H863" s="684">
        <v>70.98</v>
      </c>
      <c r="I863" t="s">
        <v>700</v>
      </c>
    </row>
    <row r="864" spans="1:9">
      <c r="A864" s="177">
        <v>45108</v>
      </c>
      <c r="B864" t="s">
        <v>593</v>
      </c>
      <c r="C864" t="s">
        <v>575</v>
      </c>
      <c r="D864" s="684">
        <v>4</v>
      </c>
      <c r="E864" s="684">
        <v>4</v>
      </c>
      <c r="F864" t="s">
        <v>20</v>
      </c>
      <c r="G864" s="684">
        <v>1.0629</v>
      </c>
      <c r="H864" s="684">
        <v>75.44</v>
      </c>
      <c r="I864" t="s">
        <v>700</v>
      </c>
    </row>
    <row r="865" spans="1:9">
      <c r="A865" s="177">
        <v>45108</v>
      </c>
      <c r="B865" t="s">
        <v>593</v>
      </c>
      <c r="C865" t="s">
        <v>575</v>
      </c>
      <c r="D865" s="684">
        <v>4</v>
      </c>
      <c r="E865" s="684">
        <v>4</v>
      </c>
      <c r="F865" t="s">
        <v>21</v>
      </c>
      <c r="G865" s="684">
        <v>1</v>
      </c>
      <c r="H865" s="684">
        <v>70.98</v>
      </c>
      <c r="I865" t="s">
        <v>700</v>
      </c>
    </row>
    <row r="866" spans="1:9">
      <c r="A866" s="177">
        <v>45108</v>
      </c>
      <c r="B866" t="s">
        <v>594</v>
      </c>
      <c r="C866" t="s">
        <v>575</v>
      </c>
      <c r="D866" s="684">
        <v>4</v>
      </c>
      <c r="E866" s="684">
        <v>5</v>
      </c>
      <c r="F866" t="s">
        <v>16</v>
      </c>
      <c r="G866" s="684">
        <v>1</v>
      </c>
      <c r="H866" s="684">
        <v>76.72</v>
      </c>
      <c r="I866" t="s">
        <v>700</v>
      </c>
    </row>
    <row r="867" spans="1:9">
      <c r="A867" s="177">
        <v>45108</v>
      </c>
      <c r="B867" t="s">
        <v>594</v>
      </c>
      <c r="C867" t="s">
        <v>575</v>
      </c>
      <c r="D867" s="684">
        <v>4</v>
      </c>
      <c r="E867" s="684">
        <v>5</v>
      </c>
      <c r="F867" t="s">
        <v>17</v>
      </c>
      <c r="G867" s="684">
        <v>1.0789</v>
      </c>
      <c r="H867" s="684">
        <v>82.77</v>
      </c>
      <c r="I867" t="s">
        <v>700</v>
      </c>
    </row>
    <row r="868" spans="1:9">
      <c r="A868" s="177">
        <v>45108</v>
      </c>
      <c r="B868" t="s">
        <v>594</v>
      </c>
      <c r="C868" t="s">
        <v>575</v>
      </c>
      <c r="D868" s="684">
        <v>4</v>
      </c>
      <c r="E868" s="684">
        <v>5</v>
      </c>
      <c r="F868" t="s">
        <v>18</v>
      </c>
      <c r="G868" s="684">
        <v>1</v>
      </c>
      <c r="H868" s="684">
        <v>76.72</v>
      </c>
      <c r="I868" t="s">
        <v>700</v>
      </c>
    </row>
    <row r="869" spans="1:9">
      <c r="A869" s="177">
        <v>45108</v>
      </c>
      <c r="B869" t="s">
        <v>594</v>
      </c>
      <c r="C869" t="s">
        <v>575</v>
      </c>
      <c r="D869" s="684">
        <v>4</v>
      </c>
      <c r="E869" s="684">
        <v>5</v>
      </c>
      <c r="F869" t="s">
        <v>19</v>
      </c>
      <c r="G869" s="684">
        <v>1</v>
      </c>
      <c r="H869" s="684">
        <v>76.72</v>
      </c>
      <c r="I869" t="s">
        <v>700</v>
      </c>
    </row>
    <row r="870" spans="1:9">
      <c r="A870" s="177">
        <v>45108</v>
      </c>
      <c r="B870" t="s">
        <v>594</v>
      </c>
      <c r="C870" t="s">
        <v>575</v>
      </c>
      <c r="D870" s="684">
        <v>4</v>
      </c>
      <c r="E870" s="684">
        <v>5</v>
      </c>
      <c r="F870" t="s">
        <v>20</v>
      </c>
      <c r="G870" s="684">
        <v>1.0629</v>
      </c>
      <c r="H870" s="684">
        <v>81.55</v>
      </c>
      <c r="I870" t="s">
        <v>700</v>
      </c>
    </row>
    <row r="871" spans="1:9">
      <c r="A871" s="177">
        <v>45108</v>
      </c>
      <c r="B871" t="s">
        <v>594</v>
      </c>
      <c r="C871" t="s">
        <v>575</v>
      </c>
      <c r="D871" s="684">
        <v>4</v>
      </c>
      <c r="E871" s="684">
        <v>5</v>
      </c>
      <c r="F871" t="s">
        <v>21</v>
      </c>
      <c r="G871" s="684">
        <v>1</v>
      </c>
      <c r="H871" s="684">
        <v>76.72</v>
      </c>
      <c r="I871" t="s">
        <v>700</v>
      </c>
    </row>
    <row r="872" spans="1:9">
      <c r="A872" s="177">
        <v>45108</v>
      </c>
      <c r="B872" t="s">
        <v>595</v>
      </c>
      <c r="C872" t="s">
        <v>575</v>
      </c>
      <c r="D872" s="684">
        <v>5</v>
      </c>
      <c r="E872" s="684">
        <v>1</v>
      </c>
      <c r="F872" t="s">
        <v>16</v>
      </c>
      <c r="G872" s="684">
        <v>1</v>
      </c>
      <c r="H872" s="684">
        <v>78.739999999999995</v>
      </c>
      <c r="I872" t="s">
        <v>700</v>
      </c>
    </row>
    <row r="873" spans="1:9">
      <c r="A873" s="177">
        <v>45108</v>
      </c>
      <c r="B873" t="s">
        <v>595</v>
      </c>
      <c r="C873" t="s">
        <v>575</v>
      </c>
      <c r="D873" s="684">
        <v>5</v>
      </c>
      <c r="E873" s="684">
        <v>1</v>
      </c>
      <c r="F873" t="s">
        <v>17</v>
      </c>
      <c r="G873" s="684">
        <v>1.0789</v>
      </c>
      <c r="H873" s="684">
        <v>84.95</v>
      </c>
      <c r="I873" t="s">
        <v>700</v>
      </c>
    </row>
    <row r="874" spans="1:9">
      <c r="A874" s="177">
        <v>45108</v>
      </c>
      <c r="B874" t="s">
        <v>595</v>
      </c>
      <c r="C874" t="s">
        <v>575</v>
      </c>
      <c r="D874" s="684">
        <v>5</v>
      </c>
      <c r="E874" s="684">
        <v>1</v>
      </c>
      <c r="F874" t="s">
        <v>18</v>
      </c>
      <c r="G874" s="684">
        <v>1</v>
      </c>
      <c r="H874" s="684">
        <v>78.739999999999995</v>
      </c>
      <c r="I874" t="s">
        <v>700</v>
      </c>
    </row>
    <row r="875" spans="1:9">
      <c r="A875" s="177">
        <v>45108</v>
      </c>
      <c r="B875" t="s">
        <v>595</v>
      </c>
      <c r="C875" t="s">
        <v>575</v>
      </c>
      <c r="D875" s="684">
        <v>5</v>
      </c>
      <c r="E875" s="684">
        <v>1</v>
      </c>
      <c r="F875" t="s">
        <v>19</v>
      </c>
      <c r="G875" s="684">
        <v>1</v>
      </c>
      <c r="H875" s="684">
        <v>78.739999999999995</v>
      </c>
      <c r="I875" t="s">
        <v>700</v>
      </c>
    </row>
    <row r="876" spans="1:9">
      <c r="A876" s="177">
        <v>45108</v>
      </c>
      <c r="B876" t="s">
        <v>595</v>
      </c>
      <c r="C876" t="s">
        <v>575</v>
      </c>
      <c r="D876" s="684">
        <v>5</v>
      </c>
      <c r="E876" s="684">
        <v>1</v>
      </c>
      <c r="F876" t="s">
        <v>20</v>
      </c>
      <c r="G876" s="684">
        <v>1.0629</v>
      </c>
      <c r="H876" s="684">
        <v>83.69</v>
      </c>
      <c r="I876" t="s">
        <v>700</v>
      </c>
    </row>
    <row r="877" spans="1:9">
      <c r="A877" s="177">
        <v>45108</v>
      </c>
      <c r="B877" t="s">
        <v>595</v>
      </c>
      <c r="C877" t="s">
        <v>575</v>
      </c>
      <c r="D877" s="684">
        <v>5</v>
      </c>
      <c r="E877" s="684">
        <v>1</v>
      </c>
      <c r="F877" t="s">
        <v>21</v>
      </c>
      <c r="G877" s="684">
        <v>1</v>
      </c>
      <c r="H877" s="684">
        <v>78.739999999999995</v>
      </c>
      <c r="I877" t="s">
        <v>700</v>
      </c>
    </row>
    <row r="878" spans="1:9">
      <c r="A878" s="177">
        <v>45108</v>
      </c>
      <c r="B878" t="s">
        <v>596</v>
      </c>
      <c r="C878" t="s">
        <v>575</v>
      </c>
      <c r="D878" s="684">
        <v>5</v>
      </c>
      <c r="E878" s="684">
        <v>2</v>
      </c>
      <c r="F878" t="s">
        <v>16</v>
      </c>
      <c r="G878" s="684">
        <v>1</v>
      </c>
      <c r="H878" s="684">
        <v>81.73</v>
      </c>
      <c r="I878" t="s">
        <v>700</v>
      </c>
    </row>
    <row r="879" spans="1:9">
      <c r="A879" s="177">
        <v>45108</v>
      </c>
      <c r="B879" t="s">
        <v>596</v>
      </c>
      <c r="C879" t="s">
        <v>575</v>
      </c>
      <c r="D879" s="684">
        <v>5</v>
      </c>
      <c r="E879" s="684">
        <v>2</v>
      </c>
      <c r="F879" t="s">
        <v>17</v>
      </c>
      <c r="G879" s="684">
        <v>1.0789</v>
      </c>
      <c r="H879" s="684">
        <v>88.18</v>
      </c>
      <c r="I879" t="s">
        <v>700</v>
      </c>
    </row>
    <row r="880" spans="1:9">
      <c r="A880" s="177">
        <v>45108</v>
      </c>
      <c r="B880" t="s">
        <v>596</v>
      </c>
      <c r="C880" t="s">
        <v>575</v>
      </c>
      <c r="D880" s="684">
        <v>5</v>
      </c>
      <c r="E880" s="684">
        <v>2</v>
      </c>
      <c r="F880" t="s">
        <v>18</v>
      </c>
      <c r="G880" s="684">
        <v>1</v>
      </c>
      <c r="H880" s="684">
        <v>81.73</v>
      </c>
      <c r="I880" t="s">
        <v>700</v>
      </c>
    </row>
    <row r="881" spans="1:9">
      <c r="A881" s="177">
        <v>45108</v>
      </c>
      <c r="B881" t="s">
        <v>596</v>
      </c>
      <c r="C881" t="s">
        <v>575</v>
      </c>
      <c r="D881" s="684">
        <v>5</v>
      </c>
      <c r="E881" s="684">
        <v>2</v>
      </c>
      <c r="F881" t="s">
        <v>19</v>
      </c>
      <c r="G881" s="684">
        <v>1</v>
      </c>
      <c r="H881" s="684">
        <v>81.73</v>
      </c>
      <c r="I881" t="s">
        <v>700</v>
      </c>
    </row>
    <row r="882" spans="1:9">
      <c r="A882" s="177">
        <v>45108</v>
      </c>
      <c r="B882" t="s">
        <v>596</v>
      </c>
      <c r="C882" t="s">
        <v>575</v>
      </c>
      <c r="D882" s="684">
        <v>5</v>
      </c>
      <c r="E882" s="684">
        <v>2</v>
      </c>
      <c r="F882" t="s">
        <v>20</v>
      </c>
      <c r="G882" s="684">
        <v>1.0629</v>
      </c>
      <c r="H882" s="684">
        <v>86.87</v>
      </c>
      <c r="I882" t="s">
        <v>700</v>
      </c>
    </row>
    <row r="883" spans="1:9">
      <c r="A883" s="177">
        <v>45108</v>
      </c>
      <c r="B883" t="s">
        <v>596</v>
      </c>
      <c r="C883" t="s">
        <v>575</v>
      </c>
      <c r="D883" s="684">
        <v>5</v>
      </c>
      <c r="E883" s="684">
        <v>2</v>
      </c>
      <c r="F883" t="s">
        <v>21</v>
      </c>
      <c r="G883" s="684">
        <v>1</v>
      </c>
      <c r="H883" s="684">
        <v>81.73</v>
      </c>
      <c r="I883" t="s">
        <v>700</v>
      </c>
    </row>
    <row r="884" spans="1:9">
      <c r="A884" s="177">
        <v>45108</v>
      </c>
      <c r="B884" t="s">
        <v>597</v>
      </c>
      <c r="C884" t="s">
        <v>575</v>
      </c>
      <c r="D884" s="684">
        <v>5</v>
      </c>
      <c r="E884" s="684">
        <v>3</v>
      </c>
      <c r="F884" t="s">
        <v>16</v>
      </c>
      <c r="G884" s="684">
        <v>1</v>
      </c>
      <c r="H884" s="684">
        <v>86.58</v>
      </c>
      <c r="I884" t="s">
        <v>700</v>
      </c>
    </row>
    <row r="885" spans="1:9">
      <c r="A885" s="177">
        <v>45108</v>
      </c>
      <c r="B885" t="s">
        <v>597</v>
      </c>
      <c r="C885" t="s">
        <v>575</v>
      </c>
      <c r="D885" s="684">
        <v>5</v>
      </c>
      <c r="E885" s="684">
        <v>3</v>
      </c>
      <c r="F885" t="s">
        <v>17</v>
      </c>
      <c r="G885" s="684">
        <v>1.0789</v>
      </c>
      <c r="H885" s="684">
        <v>93.41</v>
      </c>
      <c r="I885" t="s">
        <v>700</v>
      </c>
    </row>
    <row r="886" spans="1:9">
      <c r="A886" s="177">
        <v>45108</v>
      </c>
      <c r="B886" t="s">
        <v>597</v>
      </c>
      <c r="C886" t="s">
        <v>575</v>
      </c>
      <c r="D886" s="684">
        <v>5</v>
      </c>
      <c r="E886" s="684">
        <v>3</v>
      </c>
      <c r="F886" t="s">
        <v>18</v>
      </c>
      <c r="G886" s="684">
        <v>1</v>
      </c>
      <c r="H886" s="684">
        <v>86.58</v>
      </c>
      <c r="I886" t="s">
        <v>700</v>
      </c>
    </row>
    <row r="887" spans="1:9">
      <c r="A887" s="177">
        <v>45108</v>
      </c>
      <c r="B887" t="s">
        <v>597</v>
      </c>
      <c r="C887" t="s">
        <v>575</v>
      </c>
      <c r="D887" s="684">
        <v>5</v>
      </c>
      <c r="E887" s="684">
        <v>3</v>
      </c>
      <c r="F887" t="s">
        <v>19</v>
      </c>
      <c r="G887" s="684">
        <v>1</v>
      </c>
      <c r="H887" s="684">
        <v>86.58</v>
      </c>
      <c r="I887" t="s">
        <v>700</v>
      </c>
    </row>
    <row r="888" spans="1:9">
      <c r="A888" s="177">
        <v>45108</v>
      </c>
      <c r="B888" t="s">
        <v>597</v>
      </c>
      <c r="C888" t="s">
        <v>575</v>
      </c>
      <c r="D888" s="684">
        <v>5</v>
      </c>
      <c r="E888" s="684">
        <v>3</v>
      </c>
      <c r="F888" t="s">
        <v>20</v>
      </c>
      <c r="G888" s="684">
        <v>1.0629</v>
      </c>
      <c r="H888" s="684">
        <v>92.03</v>
      </c>
      <c r="I888" t="s">
        <v>700</v>
      </c>
    </row>
    <row r="889" spans="1:9">
      <c r="A889" s="177">
        <v>45108</v>
      </c>
      <c r="B889" t="s">
        <v>597</v>
      </c>
      <c r="C889" t="s">
        <v>575</v>
      </c>
      <c r="D889" s="684">
        <v>5</v>
      </c>
      <c r="E889" s="684">
        <v>3</v>
      </c>
      <c r="F889" t="s">
        <v>21</v>
      </c>
      <c r="G889" s="684">
        <v>1</v>
      </c>
      <c r="H889" s="684">
        <v>86.58</v>
      </c>
      <c r="I889" t="s">
        <v>700</v>
      </c>
    </row>
    <row r="890" spans="1:9">
      <c r="A890" s="177">
        <v>45108</v>
      </c>
      <c r="B890" t="s">
        <v>598</v>
      </c>
      <c r="C890" t="s">
        <v>575</v>
      </c>
      <c r="D890" s="684">
        <v>5</v>
      </c>
      <c r="E890" s="684">
        <v>4</v>
      </c>
      <c r="F890" t="s">
        <v>16</v>
      </c>
      <c r="G890" s="684">
        <v>1</v>
      </c>
      <c r="H890" s="684">
        <v>93.13</v>
      </c>
      <c r="I890" t="s">
        <v>700</v>
      </c>
    </row>
    <row r="891" spans="1:9">
      <c r="A891" s="177">
        <v>45108</v>
      </c>
      <c r="B891" t="s">
        <v>598</v>
      </c>
      <c r="C891" t="s">
        <v>575</v>
      </c>
      <c r="D891" s="684">
        <v>5</v>
      </c>
      <c r="E891" s="684">
        <v>4</v>
      </c>
      <c r="F891" t="s">
        <v>17</v>
      </c>
      <c r="G891" s="684">
        <v>1.0789</v>
      </c>
      <c r="H891" s="684">
        <v>100.48</v>
      </c>
      <c r="I891" t="s">
        <v>700</v>
      </c>
    </row>
    <row r="892" spans="1:9">
      <c r="A892" s="177">
        <v>45108</v>
      </c>
      <c r="B892" t="s">
        <v>598</v>
      </c>
      <c r="C892" t="s">
        <v>575</v>
      </c>
      <c r="D892" s="684">
        <v>5</v>
      </c>
      <c r="E892" s="684">
        <v>4</v>
      </c>
      <c r="F892" t="s">
        <v>18</v>
      </c>
      <c r="G892" s="684">
        <v>1</v>
      </c>
      <c r="H892" s="684">
        <v>93.13</v>
      </c>
      <c r="I892" t="s">
        <v>700</v>
      </c>
    </row>
    <row r="893" spans="1:9">
      <c r="A893" s="177">
        <v>45108</v>
      </c>
      <c r="B893" t="s">
        <v>598</v>
      </c>
      <c r="C893" t="s">
        <v>575</v>
      </c>
      <c r="D893" s="684">
        <v>5</v>
      </c>
      <c r="E893" s="684">
        <v>4</v>
      </c>
      <c r="F893" t="s">
        <v>19</v>
      </c>
      <c r="G893" s="684">
        <v>1</v>
      </c>
      <c r="H893" s="684">
        <v>93.13</v>
      </c>
      <c r="I893" t="s">
        <v>700</v>
      </c>
    </row>
    <row r="894" spans="1:9">
      <c r="A894" s="177">
        <v>45108</v>
      </c>
      <c r="B894" t="s">
        <v>598</v>
      </c>
      <c r="C894" t="s">
        <v>575</v>
      </c>
      <c r="D894" s="684">
        <v>5</v>
      </c>
      <c r="E894" s="684">
        <v>4</v>
      </c>
      <c r="F894" t="s">
        <v>20</v>
      </c>
      <c r="G894" s="684">
        <v>1.0629</v>
      </c>
      <c r="H894" s="684">
        <v>98.99</v>
      </c>
      <c r="I894" t="s">
        <v>700</v>
      </c>
    </row>
    <row r="895" spans="1:9">
      <c r="A895" s="177">
        <v>45108</v>
      </c>
      <c r="B895" t="s">
        <v>598</v>
      </c>
      <c r="C895" t="s">
        <v>575</v>
      </c>
      <c r="D895" s="684">
        <v>5</v>
      </c>
      <c r="E895" s="684">
        <v>4</v>
      </c>
      <c r="F895" t="s">
        <v>21</v>
      </c>
      <c r="G895" s="684">
        <v>1</v>
      </c>
      <c r="H895" s="684">
        <v>93.13</v>
      </c>
      <c r="I895" t="s">
        <v>700</v>
      </c>
    </row>
    <row r="896" spans="1:9">
      <c r="A896" s="177">
        <v>45108</v>
      </c>
      <c r="B896" t="s">
        <v>599</v>
      </c>
      <c r="C896" t="s">
        <v>575</v>
      </c>
      <c r="D896" s="684">
        <v>5</v>
      </c>
      <c r="E896" s="684">
        <v>5</v>
      </c>
      <c r="F896" t="s">
        <v>16</v>
      </c>
      <c r="G896" s="684">
        <v>1</v>
      </c>
      <c r="H896" s="684">
        <v>98.89</v>
      </c>
      <c r="I896" t="s">
        <v>700</v>
      </c>
    </row>
    <row r="897" spans="1:9">
      <c r="A897" s="177">
        <v>45108</v>
      </c>
      <c r="B897" t="s">
        <v>599</v>
      </c>
      <c r="C897" t="s">
        <v>575</v>
      </c>
      <c r="D897" s="684">
        <v>5</v>
      </c>
      <c r="E897" s="684">
        <v>5</v>
      </c>
      <c r="F897" t="s">
        <v>17</v>
      </c>
      <c r="G897" s="684">
        <v>1.0789</v>
      </c>
      <c r="H897" s="684">
        <v>106.69</v>
      </c>
      <c r="I897" t="s">
        <v>700</v>
      </c>
    </row>
    <row r="898" spans="1:9">
      <c r="A898" s="177">
        <v>45108</v>
      </c>
      <c r="B898" t="s">
        <v>599</v>
      </c>
      <c r="C898" t="s">
        <v>575</v>
      </c>
      <c r="D898" s="684">
        <v>5</v>
      </c>
      <c r="E898" s="684">
        <v>5</v>
      </c>
      <c r="F898" t="s">
        <v>18</v>
      </c>
      <c r="G898" s="684">
        <v>1</v>
      </c>
      <c r="H898" s="684">
        <v>98.89</v>
      </c>
      <c r="I898" t="s">
        <v>700</v>
      </c>
    </row>
    <row r="899" spans="1:9">
      <c r="A899" s="177">
        <v>45108</v>
      </c>
      <c r="B899" t="s">
        <v>599</v>
      </c>
      <c r="C899" t="s">
        <v>575</v>
      </c>
      <c r="D899" s="684">
        <v>5</v>
      </c>
      <c r="E899" s="684">
        <v>5</v>
      </c>
      <c r="F899" t="s">
        <v>19</v>
      </c>
      <c r="G899" s="684">
        <v>1</v>
      </c>
      <c r="H899" s="684">
        <v>98.89</v>
      </c>
      <c r="I899" t="s">
        <v>700</v>
      </c>
    </row>
    <row r="900" spans="1:9">
      <c r="A900" s="177">
        <v>45108</v>
      </c>
      <c r="B900" t="s">
        <v>599</v>
      </c>
      <c r="C900" t="s">
        <v>575</v>
      </c>
      <c r="D900" s="684">
        <v>5</v>
      </c>
      <c r="E900" s="684">
        <v>5</v>
      </c>
      <c r="F900" t="s">
        <v>20</v>
      </c>
      <c r="G900" s="684">
        <v>1.0629</v>
      </c>
      <c r="H900" s="684">
        <v>105.11</v>
      </c>
      <c r="I900" t="s">
        <v>700</v>
      </c>
    </row>
    <row r="901" spans="1:9">
      <c r="A901" s="177">
        <v>45108</v>
      </c>
      <c r="B901" t="s">
        <v>599</v>
      </c>
      <c r="C901" t="s">
        <v>575</v>
      </c>
      <c r="D901" s="684">
        <v>5</v>
      </c>
      <c r="E901" s="684">
        <v>5</v>
      </c>
      <c r="F901" t="s">
        <v>21</v>
      </c>
      <c r="G901" s="684">
        <v>1</v>
      </c>
      <c r="H901" s="684">
        <v>98.89</v>
      </c>
      <c r="I901" t="s">
        <v>700</v>
      </c>
    </row>
  </sheetData>
  <autoFilter ref="A1:I901" xr:uid="{B4BB4DA3-DF69-4DBC-A376-77BF6F5E208F}"/>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pageSetUpPr fitToPage="1"/>
  </sheetPr>
  <dimension ref="A1:FX342"/>
  <sheetViews>
    <sheetView showGridLines="0" tabSelected="1" topLeftCell="C1" zoomScale="77" zoomScaleNormal="80" zoomScaleSheetLayoutView="90" workbookViewId="0">
      <selection activeCell="E6" sqref="E6"/>
    </sheetView>
  </sheetViews>
  <sheetFormatPr defaultColWidth="5.44140625" defaultRowHeight="14.4"/>
  <cols>
    <col min="1" max="1" width="30.6640625" hidden="1" customWidth="1"/>
    <col min="2" max="2" width="24" hidden="1" customWidth="1"/>
    <col min="3" max="3" width="26.109375" customWidth="1"/>
    <col min="4" max="4" width="38.5546875" customWidth="1"/>
    <col min="5" max="5" width="26.6640625" customWidth="1"/>
    <col min="6" max="9" width="13.33203125" customWidth="1"/>
    <col min="10" max="10" width="16.33203125" customWidth="1"/>
    <col min="11" max="13" width="14" customWidth="1"/>
    <col min="14" max="17" width="13.33203125" customWidth="1"/>
    <col min="18" max="30" width="13.33203125" style="77" customWidth="1"/>
    <col min="31" max="31" width="16.33203125" style="77" customWidth="1"/>
    <col min="32" max="33" width="17" style="77" customWidth="1"/>
    <col min="34" max="34" width="21.33203125" style="77" customWidth="1"/>
    <col min="35" max="36" width="11" style="77" customWidth="1"/>
    <col min="37" max="37" width="9.88671875" style="77" customWidth="1"/>
    <col min="38" max="38" width="11" style="77" customWidth="1"/>
    <col min="39" max="39" width="9.5546875" style="77" customWidth="1"/>
    <col min="40" max="41" width="8.6640625" style="77" customWidth="1"/>
    <col min="42" max="42" width="42.44140625" customWidth="1"/>
    <col min="43" max="43" width="40.33203125" customWidth="1"/>
    <col min="44" max="44" width="12.33203125" customWidth="1"/>
    <col min="45" max="45" width="47.6640625" customWidth="1"/>
    <col min="46" max="46" width="11.5546875" customWidth="1"/>
    <col min="47" max="47" width="14.44140625" customWidth="1"/>
    <col min="48" max="48" width="15.109375" customWidth="1"/>
    <col min="49" max="49" width="6.5546875" customWidth="1"/>
    <col min="50" max="50" width="5.6640625" customWidth="1"/>
    <col min="51" max="51" width="11.6640625" customWidth="1"/>
    <col min="52" max="52" width="4.88671875" customWidth="1"/>
    <col min="53" max="53" width="5.5546875" customWidth="1"/>
    <col min="54" max="54" width="20.109375" customWidth="1"/>
    <col min="55" max="55" width="10.6640625" customWidth="1"/>
    <col min="56" max="56" width="11" customWidth="1"/>
    <col min="57" max="57" width="11.44140625" customWidth="1"/>
    <col min="58" max="58" width="7.44140625" customWidth="1"/>
    <col min="59" max="61" width="11.33203125" customWidth="1"/>
    <col min="62" max="62" width="8" customWidth="1"/>
    <col min="63" max="63" width="4.6640625" customWidth="1"/>
    <col min="64" max="64" width="20.109375" customWidth="1"/>
    <col min="65" max="65" width="9.6640625" customWidth="1"/>
    <col min="66" max="66" width="8.5546875" customWidth="1"/>
    <col min="67" max="67" width="11.44140625" customWidth="1"/>
    <col min="68" max="68" width="7.44140625" customWidth="1"/>
    <col min="69" max="71" width="11.33203125" customWidth="1"/>
    <col min="72" max="72" width="8" customWidth="1"/>
    <col min="73" max="73" width="4.44140625" customWidth="1"/>
    <col min="74" max="74" width="20.109375" customWidth="1"/>
    <col min="75" max="75" width="9.6640625" customWidth="1"/>
    <col min="76" max="76" width="8.5546875" customWidth="1"/>
    <col min="77" max="77" width="11.44140625" customWidth="1"/>
    <col min="78" max="78" width="7.44140625" customWidth="1"/>
    <col min="79" max="81" width="11.33203125" customWidth="1"/>
    <col min="82" max="82" width="8" customWidth="1"/>
    <col min="83" max="83" width="6.44140625" customWidth="1"/>
    <col min="84" max="84" width="20.109375" customWidth="1"/>
    <col min="85" max="86" width="8.5546875" customWidth="1"/>
    <col min="87" max="87" width="10.33203125" customWidth="1"/>
    <col min="88" max="88" width="8.6640625" customWidth="1"/>
    <col min="89" max="89" width="10.6640625" customWidth="1"/>
    <col min="90" max="90" width="10.5546875" customWidth="1"/>
    <col min="91" max="91" width="8.109375" customWidth="1"/>
    <col min="92" max="92" width="7" customWidth="1"/>
    <col min="93" max="93" width="5.44140625" customWidth="1"/>
    <col min="94" max="94" width="20.109375" customWidth="1"/>
    <col min="95" max="96" width="8.5546875" customWidth="1"/>
    <col min="97" max="97" width="10.33203125" customWidth="1"/>
    <col min="98" max="98" width="8.6640625" customWidth="1"/>
    <col min="99" max="99" width="10.6640625" customWidth="1"/>
    <col min="100" max="100" width="10.5546875" customWidth="1"/>
    <col min="101" max="101" width="8.109375" customWidth="1"/>
    <col min="102" max="103" width="9.33203125" customWidth="1"/>
    <col min="104" max="104" width="3.6640625" customWidth="1"/>
    <col min="105" max="105" width="20.109375" customWidth="1"/>
    <col min="106" max="107" width="8.5546875" customWidth="1"/>
    <col min="108" max="108" width="10.33203125" customWidth="1"/>
    <col min="109" max="109" width="8.6640625" customWidth="1"/>
    <col min="110" max="110" width="10.6640625" customWidth="1"/>
    <col min="111" max="111" width="10.5546875" customWidth="1"/>
    <col min="112" max="113" width="8.109375" customWidth="1"/>
    <col min="114" max="114" width="5.5546875" customWidth="1"/>
    <col min="115" max="115" width="20.109375" customWidth="1"/>
    <col min="116" max="117" width="8.5546875" customWidth="1"/>
    <col min="118" max="118" width="10.33203125" customWidth="1"/>
    <col min="119" max="119" width="8.6640625" customWidth="1"/>
    <col min="120" max="120" width="10.6640625" customWidth="1"/>
    <col min="121" max="121" width="10.5546875" customWidth="1"/>
    <col min="122" max="122" width="8.109375" customWidth="1"/>
    <col min="123" max="124" width="9.33203125" customWidth="1"/>
    <col min="125" max="125" width="3.6640625" customWidth="1"/>
    <col min="126" max="126" width="4.88671875" customWidth="1"/>
    <col min="127" max="127" width="35.33203125" customWidth="1"/>
    <col min="128" max="128" width="20" customWidth="1"/>
    <col min="129" max="129" width="4.109375" customWidth="1"/>
    <col min="130" max="130" width="34.44140625" customWidth="1"/>
    <col min="131" max="131" width="15.109375" customWidth="1"/>
    <col min="132" max="132" width="20" customWidth="1"/>
    <col min="133" max="136" width="8.88671875" customWidth="1"/>
    <col min="137" max="137" width="10.44140625" customWidth="1"/>
    <col min="138" max="138" width="24.5546875" customWidth="1"/>
    <col min="139" max="139" width="15.109375" customWidth="1"/>
    <col min="140" max="140" width="10.33203125" customWidth="1"/>
    <col min="141" max="144" width="8.88671875" customWidth="1"/>
    <col min="145" max="145" width="5.44140625" customWidth="1"/>
    <col min="146" max="146" width="5.6640625" customWidth="1"/>
    <col min="147" max="149" width="37.33203125" customWidth="1"/>
    <col min="150" max="150" width="3.109375" customWidth="1"/>
    <col min="151" max="151" width="4.5546875" customWidth="1"/>
    <col min="152" max="152" width="65" customWidth="1"/>
    <col min="153" max="153" width="37.33203125" customWidth="1"/>
    <col min="154" max="154" width="65" customWidth="1"/>
    <col min="155" max="155" width="37.33203125" customWidth="1"/>
    <col min="156" max="156" width="65" customWidth="1"/>
    <col min="157" max="157" width="37.33203125" customWidth="1"/>
    <col min="158" max="158" width="4.109375" customWidth="1"/>
    <col min="159" max="159" width="5.6640625" customWidth="1"/>
    <col min="160" max="162" width="35.33203125" customWidth="1"/>
    <col min="163" max="163" width="3.5546875" customWidth="1"/>
    <col min="164" max="164" width="3" customWidth="1"/>
    <col min="165" max="168" width="35.33203125" customWidth="1"/>
    <col min="169" max="169" width="2.6640625" customWidth="1"/>
    <col min="170" max="170" width="5.6640625" customWidth="1"/>
    <col min="171" max="173" width="40.33203125" customWidth="1"/>
    <col min="174" max="174" width="2.33203125" customWidth="1"/>
    <col min="175" max="175" width="3.6640625" customWidth="1"/>
    <col min="176" max="176" width="6" customWidth="1"/>
    <col min="177" max="177" width="38.6640625" customWidth="1"/>
    <col min="178" max="178" width="6.44140625" customWidth="1"/>
    <col min="179" max="179" width="8.5546875" customWidth="1"/>
  </cols>
  <sheetData>
    <row r="1" spans="1:180" ht="24" customHeight="1" thickBot="1">
      <c r="A1" s="702" t="s">
        <v>754</v>
      </c>
      <c r="B1" s="702"/>
      <c r="C1" s="676" t="s">
        <v>812</v>
      </c>
      <c r="D1" s="468"/>
      <c r="E1" s="4" t="s">
        <v>451</v>
      </c>
      <c r="F1" s="32"/>
      <c r="G1" s="32"/>
      <c r="H1" s="413"/>
      <c r="J1" s="224"/>
      <c r="P1" s="77"/>
      <c r="Q1" s="77"/>
      <c r="AC1" s="606" t="s">
        <v>745</v>
      </c>
      <c r="AQ1" s="630">
        <f>AQ24-AQ23</f>
        <v>45474</v>
      </c>
      <c r="BB1" s="479" t="s">
        <v>714</v>
      </c>
      <c r="BC1" s="479"/>
      <c r="BD1" s="479"/>
      <c r="BE1" s="479"/>
      <c r="BF1" s="479"/>
      <c r="BG1" s="479"/>
      <c r="BH1" s="479"/>
      <c r="BI1" s="479"/>
      <c r="BJ1" s="479"/>
      <c r="BK1" s="479"/>
      <c r="BL1" s="479"/>
      <c r="BM1" s="479"/>
      <c r="BN1" s="479"/>
      <c r="BO1" s="479"/>
      <c r="BP1" s="479"/>
      <c r="BQ1" s="479"/>
      <c r="BR1" s="479"/>
      <c r="BS1" s="479"/>
      <c r="BT1" s="479"/>
      <c r="BU1" s="479"/>
      <c r="BV1" s="479"/>
      <c r="BW1" s="479"/>
      <c r="BX1" s="479"/>
      <c r="BY1" s="479"/>
      <c r="BZ1" s="479"/>
      <c r="CA1" s="479"/>
      <c r="CB1" s="479"/>
      <c r="CC1" s="479"/>
      <c r="CD1" s="479"/>
      <c r="CE1" s="479"/>
      <c r="CG1" s="479" t="s">
        <v>715</v>
      </c>
      <c r="CH1" s="479"/>
      <c r="CI1" s="479"/>
      <c r="CJ1" s="479"/>
      <c r="CN1" s="599" t="s">
        <v>737</v>
      </c>
      <c r="CQ1" s="479" t="s">
        <v>715</v>
      </c>
      <c r="CR1" s="479"/>
      <c r="CS1" s="479"/>
      <c r="CT1" s="479"/>
      <c r="CX1" s="598" t="s">
        <v>733</v>
      </c>
      <c r="CY1" s="598"/>
      <c r="DB1" s="479" t="s">
        <v>715</v>
      </c>
      <c r="DC1" s="479"/>
      <c r="DD1" s="479"/>
      <c r="DE1" s="479"/>
      <c r="DI1" s="600">
        <f>DI5*1.04</f>
        <v>28.204800000000002</v>
      </c>
      <c r="DL1" s="479" t="s">
        <v>715</v>
      </c>
      <c r="DM1" s="479"/>
      <c r="DN1" s="479"/>
      <c r="DO1" s="479"/>
      <c r="DR1" s="32" t="s">
        <v>487</v>
      </c>
      <c r="DS1" s="598" t="s">
        <v>733</v>
      </c>
      <c r="DT1" s="598"/>
      <c r="ED1" s="205"/>
      <c r="EE1" s="599" t="s">
        <v>732</v>
      </c>
      <c r="EF1" s="599"/>
      <c r="EM1" s="611" t="s">
        <v>732</v>
      </c>
      <c r="EN1" s="611"/>
      <c r="EP1" s="590" t="s">
        <v>385</v>
      </c>
      <c r="EQ1" s="591"/>
      <c r="ER1" s="591"/>
      <c r="ES1" s="591"/>
      <c r="ET1" s="53"/>
      <c r="EU1" s="42"/>
      <c r="FC1" s="590" t="s">
        <v>224</v>
      </c>
      <c r="FD1" s="591"/>
      <c r="FE1" s="591"/>
      <c r="FF1" s="591"/>
      <c r="FG1" s="53"/>
      <c r="FH1" s="42"/>
      <c r="FN1" s="590" t="s">
        <v>379</v>
      </c>
      <c r="FO1" s="591"/>
      <c r="FP1" s="591"/>
      <c r="FQ1" s="591"/>
      <c r="FR1" s="53"/>
      <c r="FS1" s="42"/>
    </row>
    <row r="2" spans="1:180" ht="18.75" customHeight="1" thickBot="1">
      <c r="A2" s="702"/>
      <c r="B2" s="702"/>
      <c r="C2" s="615" t="s">
        <v>779</v>
      </c>
      <c r="E2" s="4" t="s">
        <v>452</v>
      </c>
      <c r="F2" s="32"/>
      <c r="G2" s="32"/>
      <c r="H2" s="413"/>
      <c r="P2" s="77"/>
      <c r="Q2" s="77"/>
      <c r="AC2" s="606" t="s">
        <v>744</v>
      </c>
      <c r="AP2" s="4" t="s">
        <v>34</v>
      </c>
      <c r="CI2" t="s">
        <v>511</v>
      </c>
      <c r="CN2" s="568">
        <f>CN5+36.65</f>
        <v>64.34</v>
      </c>
      <c r="CO2" s="479" t="s">
        <v>736</v>
      </c>
      <c r="CT2" t="s">
        <v>512</v>
      </c>
      <c r="CX2" s="479" t="s">
        <v>720</v>
      </c>
      <c r="CY2" s="479"/>
      <c r="DD2" t="s">
        <v>494</v>
      </c>
      <c r="DE2" s="599" t="s">
        <v>735</v>
      </c>
      <c r="DI2" s="568">
        <f>DI5+66.19</f>
        <v>93.31</v>
      </c>
      <c r="DO2" t="s">
        <v>513</v>
      </c>
      <c r="DR2" s="568">
        <f>DS27+ROUND((66.19*(1+0.035)),2)</f>
        <v>275.27</v>
      </c>
      <c r="DS2" s="568">
        <f>DS5+(66.19*1.035)</f>
        <v>96.706649999999996</v>
      </c>
      <c r="DT2" s="479" t="s">
        <v>734</v>
      </c>
      <c r="EL2" s="568">
        <f>20.47+ROUND(66.19*1.035,2)</f>
        <v>88.98</v>
      </c>
      <c r="EM2" t="s">
        <v>487</v>
      </c>
      <c r="EP2" s="44" t="s">
        <v>222</v>
      </c>
      <c r="EQ2" s="45" t="s">
        <v>219</v>
      </c>
      <c r="ER2" s="45" t="s">
        <v>220</v>
      </c>
      <c r="ES2" s="46" t="s">
        <v>223</v>
      </c>
      <c r="ET2" s="140"/>
      <c r="EU2" s="42"/>
      <c r="EV2" s="101" t="s">
        <v>216</v>
      </c>
      <c r="EW2" s="62" t="s">
        <v>215</v>
      </c>
      <c r="EX2" s="62" t="s">
        <v>373</v>
      </c>
      <c r="EY2" s="62" t="s">
        <v>374</v>
      </c>
      <c r="EZ2" s="63" t="s">
        <v>217</v>
      </c>
      <c r="FA2" s="64" t="s">
        <v>218</v>
      </c>
      <c r="FC2" s="44" t="s">
        <v>222</v>
      </c>
      <c r="FD2" s="45" t="s">
        <v>219</v>
      </c>
      <c r="FE2" s="45" t="s">
        <v>220</v>
      </c>
      <c r="FF2" s="46" t="s">
        <v>223</v>
      </c>
      <c r="FG2" s="140"/>
      <c r="FH2" s="42"/>
      <c r="FI2" s="56" t="s">
        <v>216</v>
      </c>
      <c r="FJ2" s="62" t="s">
        <v>373</v>
      </c>
      <c r="FK2" s="62" t="s">
        <v>374</v>
      </c>
      <c r="FL2" s="57" t="s">
        <v>215</v>
      </c>
      <c r="FN2" s="44" t="s">
        <v>222</v>
      </c>
      <c r="FO2" s="45" t="s">
        <v>219</v>
      </c>
      <c r="FP2" s="45" t="s">
        <v>220</v>
      </c>
      <c r="FQ2" s="141" t="s">
        <v>223</v>
      </c>
      <c r="FR2" s="140"/>
      <c r="FS2" s="42"/>
      <c r="FT2" s="56" t="s">
        <v>373</v>
      </c>
      <c r="FU2" s="57" t="s">
        <v>380</v>
      </c>
    </row>
    <row r="3" spans="1:180" ht="14.4" customHeight="1" thickBot="1">
      <c r="A3" s="643" t="s">
        <v>770</v>
      </c>
      <c r="B3" s="643"/>
      <c r="D3" s="205" t="s">
        <v>766</v>
      </c>
      <c r="E3" s="1"/>
      <c r="F3" s="419"/>
      <c r="G3" s="419"/>
      <c r="H3" s="419"/>
      <c r="I3" s="205" t="s">
        <v>766</v>
      </c>
      <c r="P3" s="77"/>
      <c r="Q3" s="77"/>
      <c r="AG3" s="623"/>
      <c r="AH3" s="623"/>
      <c r="BB3" s="705" t="s">
        <v>438</v>
      </c>
      <c r="BC3" s="706"/>
      <c r="BD3" s="706"/>
      <c r="BE3" s="706"/>
      <c r="BF3" s="706"/>
      <c r="BG3" s="706"/>
      <c r="BH3" s="706"/>
      <c r="BI3" s="706"/>
      <c r="BJ3" s="707"/>
      <c r="BK3" s="270"/>
      <c r="BL3" s="712" t="s">
        <v>456</v>
      </c>
      <c r="BM3" s="713"/>
      <c r="BN3" s="713"/>
      <c r="BO3" s="713"/>
      <c r="BP3" s="713"/>
      <c r="BQ3" s="713"/>
      <c r="BR3" s="713"/>
      <c r="BS3" s="713"/>
      <c r="BT3" s="714"/>
      <c r="BU3" s="270"/>
      <c r="BV3" s="715" t="s">
        <v>490</v>
      </c>
      <c r="BW3" s="716"/>
      <c r="BX3" s="716"/>
      <c r="BY3" s="716"/>
      <c r="BZ3" s="716"/>
      <c r="CA3" s="716"/>
      <c r="CB3" s="716"/>
      <c r="CC3" s="716"/>
      <c r="CD3" s="717"/>
      <c r="CF3" s="718" t="str">
        <f>"Day Service Rates Effective FY"&amp;YEAR('FPS Pivot Table'!D14)+1</f>
        <v>Day Service Rates Effective FY2023</v>
      </c>
      <c r="CG3" s="719"/>
      <c r="CH3" s="719"/>
      <c r="CI3" s="719"/>
      <c r="CJ3" s="719"/>
      <c r="CK3" s="719"/>
      <c r="CL3" s="719"/>
      <c r="CM3" s="719"/>
      <c r="CN3" s="720"/>
      <c r="CO3" s="20"/>
      <c r="CP3" s="703" t="str">
        <f>"Day Service Rates Effective FY"&amp;YEAR('FPS Pivot Table'!E14)+1</f>
        <v>Day Service Rates Effective FY2024</v>
      </c>
      <c r="CQ3" s="704"/>
      <c r="CR3" s="704"/>
      <c r="CS3" s="704"/>
      <c r="CT3" s="704"/>
      <c r="CU3" s="704"/>
      <c r="CV3" s="704"/>
      <c r="CW3" s="704"/>
      <c r="CX3" s="417">
        <f>CX5+36.65*(1.035)</f>
        <v>66.732749999999996</v>
      </c>
      <c r="CY3" s="653" t="s">
        <v>774</v>
      </c>
      <c r="CZ3" s="20"/>
      <c r="DA3" s="488" t="str">
        <f>"Residential Rates Effective FY"&amp;YEAR('FPS Pivot Table'!F14)+1</f>
        <v>Residential Rates Effective FY2023</v>
      </c>
      <c r="DB3" s="489"/>
      <c r="DC3" s="489"/>
      <c r="DD3" s="489"/>
      <c r="DE3" s="489"/>
      <c r="DF3" s="489"/>
      <c r="DG3" s="489"/>
      <c r="DH3" s="489"/>
      <c r="DI3" s="490"/>
      <c r="DK3" s="491" t="str">
        <f>"Residential Rates Effective FY"&amp;YEAR('FPS Pivot Table'!G14)+1</f>
        <v>Residential Rates Effective FY2024</v>
      </c>
      <c r="DL3" s="492"/>
      <c r="DM3" s="492"/>
      <c r="DN3" s="492"/>
      <c r="DO3" s="492"/>
      <c r="DP3" s="492"/>
      <c r="DQ3" s="492"/>
      <c r="DR3" s="492"/>
      <c r="DS3" s="493"/>
      <c r="DT3" s="653" t="s">
        <v>774</v>
      </c>
      <c r="DZ3" s="142" t="s">
        <v>234</v>
      </c>
      <c r="EA3" s="129"/>
      <c r="EB3" s="142"/>
      <c r="EC3" s="143"/>
      <c r="ED3" s="538"/>
      <c r="EE3" s="538"/>
      <c r="EF3" s="653" t="s">
        <v>815</v>
      </c>
      <c r="EH3" s="142" t="s">
        <v>234</v>
      </c>
      <c r="EI3" s="129"/>
      <c r="EJ3" s="142"/>
      <c r="EK3" s="143"/>
      <c r="EL3" s="295"/>
      <c r="EN3" s="653" t="s">
        <v>815</v>
      </c>
      <c r="EP3" s="111" t="str">
        <f>IF(EQ3="","",MAX(EP$2:EP2)+1)</f>
        <v/>
      </c>
      <c r="EQ3" s="112" t="str">
        <f t="shared" ref="EQ3:EQ17" si="0">IF(ER3&lt;&gt;0,ER3,"")</f>
        <v/>
      </c>
      <c r="ER3" s="150" t="str">
        <f>IF(AND(Budget!$E$12="Self-Direction",Budget!$A$12="Community Supports Waiver"),Budget!EV3,IF(AND(Budget!$E$12="Traditional",Budget!$A$12="Community Supports Waiver"),Budget!EW3,IF(AND(Budget!$E$12="Self-Direction",Budget!$A$12="Family Supports Waiver"),Budget!EZ3,IF(AND(Budget!$E$12="Traditional",Budget!$A$12="Family Supports Waiver"),Budget!FA3,IF(AND(Budget!$E$12="Traditional",Budget!$A$12="Community Pathways Waiver"),Budget!EY3,IF(AND(Budget!$E$12="Self-Direction",Budget!$A$12="Community Pathways Waiver"),Budget!EX3,""))))))</f>
        <v/>
      </c>
      <c r="ES3" s="232" t="str">
        <f t="shared" ref="ES3:ES15" si="1">IF(ISERROR(INDEX($EQ$3:$EQ$19,MATCH(ROW()-ROW($ES$2),$EP$3:$EP$19,0))),"",INDEX($EQ$3:$EQ$19,MATCH(ROW()-ROW($ES$2),$EP$3:$EP$24,0)))</f>
        <v/>
      </c>
      <c r="ET3" s="42"/>
      <c r="EU3" s="42"/>
      <c r="EV3" s="18" t="s">
        <v>45</v>
      </c>
      <c r="EW3" s="18" t="s">
        <v>45</v>
      </c>
      <c r="EX3" s="18" t="s">
        <v>45</v>
      </c>
      <c r="EY3" s="18" t="s">
        <v>45</v>
      </c>
      <c r="EZ3" s="18" t="s">
        <v>45</v>
      </c>
      <c r="FA3" s="18" t="s">
        <v>45</v>
      </c>
      <c r="FC3" s="47" t="str">
        <f>IF(FD3="","",MAX(FC$2:FC2)+1)</f>
        <v/>
      </c>
      <c r="FD3" s="43" t="str">
        <f>IF(FE3&lt;&gt;0,FE3,"")</f>
        <v/>
      </c>
      <c r="FE3" s="43">
        <f>IF(AND(Budget!$E$12="Self-Direction",Budget!$A$12="Community Supports Waiver"),Budget!FI3,IF(AND(Budget!$E$12="Traditional",Budget!$A$12="Community Supports Waiver"),Budget!FL3,IF(AND(Budget!$E$12="Self-Direction",Budget!$A$12="Community Pathways Waiver"),Budget!FJ3,IF(AND(Budget!$E$12="Traditional",Budget!$A$12="Community Pathways Waiver"),FK3,))))</f>
        <v>0</v>
      </c>
      <c r="FF3" s="48" t="str">
        <f>IF(ISERROR((INDEX($FD$3:$FD$23,MATCH(ROW()-ROW($FF$2),$FC$3:$FC$23,0)))),"",(INDEX($FD$3:$FD$23,MATCH(ROW()-ROW($FF$2),$FC$3:$FC$23,0))))</f>
        <v/>
      </c>
      <c r="FG3" s="42"/>
      <c r="FH3" s="42"/>
      <c r="FI3" s="18" t="s">
        <v>136</v>
      </c>
      <c r="FJ3" s="18" t="s">
        <v>136</v>
      </c>
      <c r="FK3" s="18" t="s">
        <v>140</v>
      </c>
      <c r="FL3" s="18" t="s">
        <v>140</v>
      </c>
      <c r="FN3" s="111" t="str">
        <f>IF(FO3="","",MAX(FN$2:FN2)+1)</f>
        <v/>
      </c>
      <c r="FO3" s="112" t="str">
        <f t="shared" ref="FO3:FO23" si="2">IF(FP3&lt;&gt;0,FP3,"")</f>
        <v/>
      </c>
      <c r="FP3" s="43">
        <f>IF(AND(Budget!$E$12="Self-Direction",Budget!$A$12="Community Supports Waiver"),Budget!FU3,IF(AND(Budget!$E$12="Traditional",Budget!$A$12="Community Supports Waiver"),Budget!FU3,IF(AND(Budget!$E$12="Self-Direction",Budget!$A$12="Community Pathways Waiver"),Budget!FU3,IF(AND(Budget!$E$12="Traditional",Budget!$A$12="Community Pathways Waiver"),FU3,))))</f>
        <v>0</v>
      </c>
      <c r="FQ3" s="113" t="str">
        <f>IF(ISERROR((INDEX($FO$3:$FO$23,MATCH(ROW()-ROW($FQ$2),$FN$3:$FN$23,0)))),"",(INDEX($FO$3:$FO$23,MATCH(ROW()-ROW($FQ$2),$FN$3:$FN$23,0))))</f>
        <v/>
      </c>
      <c r="FR3" s="42"/>
      <c r="FS3" s="42"/>
      <c r="FT3" s="18"/>
      <c r="FU3" s="18" t="s">
        <v>314</v>
      </c>
    </row>
    <row r="4" spans="1:180" ht="15" customHeight="1" thickBot="1">
      <c r="A4" s="614" t="s">
        <v>768</v>
      </c>
      <c r="B4" s="614" t="s">
        <v>769</v>
      </c>
      <c r="D4" s="116" t="s">
        <v>205</v>
      </c>
      <c r="E4" s="115"/>
      <c r="F4" s="455"/>
      <c r="G4" s="455"/>
      <c r="H4" s="32"/>
      <c r="I4" s="106" t="s">
        <v>221</v>
      </c>
      <c r="J4" s="710" t="s">
        <v>491</v>
      </c>
      <c r="K4" s="708" t="s">
        <v>492</v>
      </c>
      <c r="L4" s="708" t="s">
        <v>449</v>
      </c>
      <c r="N4" s="29" t="s">
        <v>246</v>
      </c>
      <c r="O4" s="72"/>
      <c r="P4" s="72"/>
      <c r="Q4" s="77"/>
      <c r="AP4" s="303" t="s">
        <v>147</v>
      </c>
      <c r="AQ4" s="304" t="s">
        <v>32</v>
      </c>
      <c r="AR4" s="305" t="s">
        <v>31</v>
      </c>
      <c r="AS4" s="305" t="s">
        <v>182</v>
      </c>
      <c r="AT4" s="306" t="s">
        <v>144</v>
      </c>
      <c r="AU4" s="303" t="s">
        <v>151</v>
      </c>
      <c r="AV4" s="307" t="s">
        <v>157</v>
      </c>
      <c r="AW4" s="308" t="s">
        <v>147</v>
      </c>
      <c r="AX4" s="303" t="s">
        <v>156</v>
      </c>
      <c r="AY4" s="309" t="s">
        <v>204</v>
      </c>
      <c r="AZ4" s="310"/>
      <c r="BA4" s="310"/>
      <c r="BB4" s="350" t="s">
        <v>148</v>
      </c>
      <c r="BC4" s="351" t="s">
        <v>5</v>
      </c>
      <c r="BD4" s="351" t="s">
        <v>6</v>
      </c>
      <c r="BE4" s="351" t="s">
        <v>7</v>
      </c>
      <c r="BF4" s="351" t="s">
        <v>22</v>
      </c>
      <c r="BG4" s="351" t="s">
        <v>23</v>
      </c>
      <c r="BH4" s="351" t="s">
        <v>24</v>
      </c>
      <c r="BI4" s="351" t="s">
        <v>25</v>
      </c>
      <c r="BJ4" s="352" t="s">
        <v>11</v>
      </c>
      <c r="BK4" s="144"/>
      <c r="BL4" s="353" t="s">
        <v>148</v>
      </c>
      <c r="BM4" s="354" t="s">
        <v>5</v>
      </c>
      <c r="BN4" s="354" t="s">
        <v>6</v>
      </c>
      <c r="BO4" s="354" t="s">
        <v>7</v>
      </c>
      <c r="BP4" s="354" t="s">
        <v>22</v>
      </c>
      <c r="BQ4" s="354" t="s">
        <v>23</v>
      </c>
      <c r="BR4" s="354" t="s">
        <v>24</v>
      </c>
      <c r="BS4" s="354" t="s">
        <v>25</v>
      </c>
      <c r="BT4" s="355" t="s">
        <v>11</v>
      </c>
      <c r="BU4" s="144"/>
      <c r="BV4" s="387" t="s">
        <v>148</v>
      </c>
      <c r="BW4" s="365" t="s">
        <v>5</v>
      </c>
      <c r="BX4" s="365" t="s">
        <v>6</v>
      </c>
      <c r="BY4" s="365" t="s">
        <v>7</v>
      </c>
      <c r="BZ4" s="365" t="s">
        <v>22</v>
      </c>
      <c r="CA4" s="365" t="s">
        <v>23</v>
      </c>
      <c r="CB4" s="365" t="s">
        <v>24</v>
      </c>
      <c r="CC4" s="365" t="s">
        <v>25</v>
      </c>
      <c r="CD4" s="366" t="s">
        <v>11</v>
      </c>
      <c r="CE4" s="144"/>
      <c r="CF4" s="353" t="s">
        <v>148</v>
      </c>
      <c r="CG4" s="367" t="s">
        <v>5</v>
      </c>
      <c r="CH4" s="367" t="s">
        <v>6</v>
      </c>
      <c r="CI4" s="367" t="s">
        <v>7</v>
      </c>
      <c r="CJ4" s="367" t="s">
        <v>8</v>
      </c>
      <c r="CK4" s="368" t="s">
        <v>9</v>
      </c>
      <c r="CL4" s="368" t="s">
        <v>10</v>
      </c>
      <c r="CM4" s="368" t="s">
        <v>11</v>
      </c>
      <c r="CN4" s="369" t="s">
        <v>12</v>
      </c>
      <c r="CO4" s="271"/>
      <c r="CP4" s="350" t="s">
        <v>148</v>
      </c>
      <c r="CQ4" s="374" t="s">
        <v>5</v>
      </c>
      <c r="CR4" s="374" t="s">
        <v>6</v>
      </c>
      <c r="CS4" s="374" t="s">
        <v>7</v>
      </c>
      <c r="CT4" s="374" t="s">
        <v>8</v>
      </c>
      <c r="CU4" s="375" t="s">
        <v>9</v>
      </c>
      <c r="CV4" s="375" t="s">
        <v>10</v>
      </c>
      <c r="CW4" s="375" t="s">
        <v>11</v>
      </c>
      <c r="CX4" s="376" t="s">
        <v>12</v>
      </c>
      <c r="CY4" s="654">
        <f>+$B$17</f>
        <v>0.04</v>
      </c>
      <c r="CZ4" s="271"/>
      <c r="DA4" s="353" t="s">
        <v>148</v>
      </c>
      <c r="DB4" s="367" t="s">
        <v>5</v>
      </c>
      <c r="DC4" s="367" t="s">
        <v>6</v>
      </c>
      <c r="DD4" s="367" t="s">
        <v>7</v>
      </c>
      <c r="DE4" s="367" t="s">
        <v>8</v>
      </c>
      <c r="DF4" s="368" t="s">
        <v>9</v>
      </c>
      <c r="DG4" s="368" t="s">
        <v>10</v>
      </c>
      <c r="DH4" s="368" t="s">
        <v>11</v>
      </c>
      <c r="DI4" s="369" t="s">
        <v>12</v>
      </c>
      <c r="DJ4" s="42"/>
      <c r="DK4" s="387" t="s">
        <v>148</v>
      </c>
      <c r="DL4" s="378" t="s">
        <v>5</v>
      </c>
      <c r="DM4" s="378" t="s">
        <v>6</v>
      </c>
      <c r="DN4" s="378" t="s">
        <v>7</v>
      </c>
      <c r="DO4" s="378" t="s">
        <v>8</v>
      </c>
      <c r="DP4" s="379" t="s">
        <v>9</v>
      </c>
      <c r="DQ4" s="379" t="s">
        <v>10</v>
      </c>
      <c r="DR4" s="379" t="s">
        <v>11</v>
      </c>
      <c r="DS4" s="380" t="s">
        <v>12</v>
      </c>
      <c r="DT4" s="654">
        <f>+$B$17</f>
        <v>0.04</v>
      </c>
      <c r="DU4" s="42"/>
      <c r="DV4" s="42"/>
      <c r="DW4" s="145" t="s">
        <v>235</v>
      </c>
      <c r="DX4" s="145" t="s">
        <v>236</v>
      </c>
      <c r="DY4" s="42"/>
      <c r="DZ4" s="146" t="s">
        <v>201</v>
      </c>
      <c r="EA4" s="147" t="s">
        <v>147</v>
      </c>
      <c r="EB4" s="148" t="s">
        <v>213</v>
      </c>
      <c r="EC4" s="267" t="s">
        <v>292</v>
      </c>
      <c r="ED4" s="537" t="s">
        <v>495</v>
      </c>
      <c r="EE4" s="537" t="s">
        <v>814</v>
      </c>
      <c r="EF4" s="654">
        <f>+$B$17</f>
        <v>0.04</v>
      </c>
      <c r="EG4" s="42"/>
      <c r="EH4" s="147" t="s">
        <v>201</v>
      </c>
      <c r="EI4" s="147" t="s">
        <v>147</v>
      </c>
      <c r="EJ4" s="148" t="s">
        <v>213</v>
      </c>
      <c r="EK4" s="149" t="s">
        <v>292</v>
      </c>
      <c r="EL4" s="534" t="s">
        <v>495</v>
      </c>
      <c r="EM4" s="534" t="s">
        <v>814</v>
      </c>
      <c r="EN4" s="654">
        <f>+$B$17</f>
        <v>0.04</v>
      </c>
      <c r="EO4" s="42"/>
      <c r="EP4" s="47" t="str">
        <f>IF(EQ4="","",MAX(EP$2:EP3)+1)</f>
        <v/>
      </c>
      <c r="EQ4" s="43" t="str">
        <f t="shared" si="0"/>
        <v/>
      </c>
      <c r="ER4" s="150" t="str">
        <f>IF(AND(Budget!$E$12="Self-Direction",Budget!$A$12="Community Supports Waiver"),Budget!EV4,IF(AND(Budget!$E$12="Traditional",Budget!$A$12="Community Supports Waiver"),Budget!EW4,IF(AND(Budget!$E$12="Self-Direction",Budget!$A$12="Family Supports Waiver"),Budget!EZ4,IF(AND(Budget!$E$12="Traditional",Budget!$A$12="Family Supports Waiver"),Budget!FA4,IF(AND(Budget!$E$12="Traditional",Budget!$A$12="Community Pathways Waiver"),Budget!EY4,IF(AND(Budget!$E$12="Self-Direction",Budget!$A$12="Community Pathways Waiver"),Budget!EX4,""))))))</f>
        <v/>
      </c>
      <c r="ES4" s="232" t="str">
        <f t="shared" si="1"/>
        <v/>
      </c>
      <c r="ET4" s="42"/>
      <c r="EU4" s="42"/>
      <c r="EV4" s="27" t="s">
        <v>398</v>
      </c>
      <c r="EW4" s="27" t="s">
        <v>398</v>
      </c>
      <c r="EX4" s="27" t="s">
        <v>398</v>
      </c>
      <c r="EY4" s="27" t="s">
        <v>398</v>
      </c>
      <c r="EZ4" s="27" t="s">
        <v>398</v>
      </c>
      <c r="FA4" s="27" t="s">
        <v>398</v>
      </c>
      <c r="FC4" s="47" t="str">
        <f>IF(FD4="","",MAX(FC$2:FC3)+1)</f>
        <v/>
      </c>
      <c r="FD4" s="43" t="str">
        <f t="shared" ref="FD4:FD23" si="3">IF(FE4&lt;&gt;0,FE4,"")</f>
        <v/>
      </c>
      <c r="FE4" s="43">
        <f>IF(AND(Budget!$E$12="Self-Direction",Budget!$A$12="Community Supports Waiver"),Budget!FI4,IF(AND(Budget!$E$12="Traditional",Budget!$A$12="Community Supports Waiver"),Budget!FL4,IF(AND(Budget!$E$12="Self-Direction",Budget!$A$12="Community Pathways Waiver"),Budget!FJ4,IF(AND(Budget!$E$12="Traditional",Budget!$A$12="Community Pathways Waiver"),FK4,))))</f>
        <v>0</v>
      </c>
      <c r="FF4" s="48" t="str">
        <f t="shared" ref="FF4:FF23" si="4">IF(ISERROR((INDEX($FD$3:$FD$23,MATCH(ROW()-ROW($FF$2),$FC$3:$FC$23,0)))),"",(INDEX($FD$3:$FD$23,MATCH(ROW()-ROW($FF$2),$FC$3:$FC$23,0))))</f>
        <v/>
      </c>
      <c r="FG4" s="42"/>
      <c r="FH4" s="42"/>
      <c r="FI4" s="27" t="s">
        <v>137</v>
      </c>
      <c r="FJ4" s="27" t="s">
        <v>137</v>
      </c>
      <c r="FK4" s="27" t="s">
        <v>139</v>
      </c>
      <c r="FL4" s="27" t="s">
        <v>139</v>
      </c>
      <c r="FN4" s="47" t="str">
        <f>IF(FO4="","",MAX(FN$2:FN3)+1)</f>
        <v/>
      </c>
      <c r="FO4" s="43" t="str">
        <f t="shared" si="2"/>
        <v/>
      </c>
      <c r="FP4" s="43">
        <f>IF(AND(Budget!$E$12="Self-Direction",Budget!$A$12="Community Supports Waiver"),Budget!FU4,IF(AND(Budget!$E$12="Traditional",Budget!$A$12="Community Supports Waiver"),Budget!FU4,IF(AND(Budget!$E$12="Self-Direction",Budget!$A$12="Community Pathways Waiver"),Budget!FU4,IF(AND(Budget!$E$12="Traditional",Budget!$A$12="Community Pathways Waiver"),FU4,))))</f>
        <v>0</v>
      </c>
      <c r="FQ4" s="48" t="str">
        <f t="shared" ref="FQ4:FQ23" si="5">IF(ISERROR((INDEX($FO$3:$FO$23,MATCH(ROW()-ROW($FQ$2),$FN$3:$FN$23,0)))),"",(INDEX($FO$3:$FO$23,MATCH(ROW()-ROW($FQ$2),$FN$3:$FN$23,0))))</f>
        <v/>
      </c>
      <c r="FR4" s="42"/>
      <c r="FS4" s="42"/>
      <c r="FT4" s="27"/>
      <c r="FU4" s="27" t="s">
        <v>319</v>
      </c>
    </row>
    <row r="5" spans="1:180" ht="14.4" customHeight="1" thickBot="1">
      <c r="A5" s="644">
        <v>366</v>
      </c>
      <c r="B5" s="645">
        <v>365</v>
      </c>
      <c r="D5" s="40" t="s">
        <v>225</v>
      </c>
      <c r="E5" s="210"/>
      <c r="F5" s="456"/>
      <c r="G5" s="456"/>
      <c r="H5" s="32"/>
      <c r="I5" s="107" t="s">
        <v>378</v>
      </c>
      <c r="J5" s="711"/>
      <c r="K5" s="709"/>
      <c r="L5" s="709"/>
      <c r="N5" s="632" t="s">
        <v>777</v>
      </c>
      <c r="O5" s="633" t="s">
        <v>813</v>
      </c>
      <c r="P5" s="30" t="s">
        <v>196</v>
      </c>
      <c r="Q5" s="638">
        <f>IF(E10-E9=0,0,E10-E9+1&amp; " Days")</f>
        <v>0</v>
      </c>
      <c r="AP5" s="151">
        <v>1</v>
      </c>
      <c r="AQ5" s="592" t="s">
        <v>199</v>
      </c>
      <c r="AR5" s="152" t="s">
        <v>33</v>
      </c>
      <c r="AS5" s="584" t="s">
        <v>1</v>
      </c>
      <c r="AT5" s="581">
        <v>1</v>
      </c>
      <c r="AU5" s="580">
        <v>0.108</v>
      </c>
      <c r="AV5" s="595" t="s">
        <v>179</v>
      </c>
      <c r="AW5" s="311">
        <v>4</v>
      </c>
      <c r="AX5" s="312">
        <v>0</v>
      </c>
      <c r="AY5" s="153" t="s">
        <v>27</v>
      </c>
      <c r="AZ5" s="42"/>
      <c r="BA5" s="42"/>
      <c r="BB5" s="313" t="str">
        <f t="shared" ref="BB5:BB36" si="6">CONCATENATE(BJ5,BF5)</f>
        <v>10</v>
      </c>
      <c r="BC5" s="154" t="s">
        <v>13</v>
      </c>
      <c r="BD5" s="154" t="s">
        <v>14</v>
      </c>
      <c r="BE5" s="154" t="s">
        <v>26</v>
      </c>
      <c r="BF5" s="154" t="s">
        <v>27</v>
      </c>
      <c r="BG5" s="155">
        <v>0</v>
      </c>
      <c r="BH5" s="155">
        <v>0</v>
      </c>
      <c r="BI5" s="155">
        <v>0</v>
      </c>
      <c r="BJ5" s="156" t="s">
        <v>16</v>
      </c>
      <c r="BK5" s="154"/>
      <c r="BL5" s="313" t="str">
        <f t="shared" ref="BL5:BL58" si="7">CONCATENATE(BT5,BP5)</f>
        <v>183-168</v>
      </c>
      <c r="BM5" s="356">
        <v>43282</v>
      </c>
      <c r="BN5" s="356">
        <v>43282</v>
      </c>
      <c r="BO5" s="357" t="s">
        <v>26</v>
      </c>
      <c r="BP5" s="358" t="s">
        <v>4</v>
      </c>
      <c r="BQ5" s="400">
        <v>20</v>
      </c>
      <c r="BR5" s="400">
        <v>20</v>
      </c>
      <c r="BS5" s="400">
        <v>20</v>
      </c>
      <c r="BT5" s="359">
        <v>1</v>
      </c>
      <c r="BU5" s="42"/>
      <c r="BV5" s="313" t="str">
        <f t="shared" ref="BV5:BV58" si="8">CONCATENATE(CD5,BZ5)</f>
        <v>183-168</v>
      </c>
      <c r="BW5" s="356">
        <v>43282</v>
      </c>
      <c r="BX5" s="356">
        <v>43282</v>
      </c>
      <c r="BY5" s="357" t="s">
        <v>26</v>
      </c>
      <c r="BZ5" s="358" t="s">
        <v>4</v>
      </c>
      <c r="CA5" s="448">
        <v>21.63</v>
      </c>
      <c r="CB5" s="448">
        <v>21.62</v>
      </c>
      <c r="CC5" s="448">
        <v>21.63</v>
      </c>
      <c r="CD5" s="359">
        <v>1</v>
      </c>
      <c r="CE5" s="154"/>
      <c r="CF5" s="313" t="str">
        <f>CONCATENATE(CM5,CK5,CL5)</f>
        <v>111</v>
      </c>
      <c r="CG5" s="356">
        <v>43282</v>
      </c>
      <c r="CH5" s="356">
        <v>43282</v>
      </c>
      <c r="CI5" s="370" t="s">
        <v>15</v>
      </c>
      <c r="CJ5" s="370"/>
      <c r="CK5" s="371">
        <v>1</v>
      </c>
      <c r="CL5" s="371">
        <v>1</v>
      </c>
      <c r="CM5" s="370">
        <v>1</v>
      </c>
      <c r="CN5" s="494">
        <f>'FPS Pivot Table'!D15</f>
        <v>27.69</v>
      </c>
      <c r="CO5" s="158"/>
      <c r="CP5" s="313" t="str">
        <f>CONCATENATE(CW5,CU5,CV5)</f>
        <v>111</v>
      </c>
      <c r="CQ5" s="356">
        <v>43282</v>
      </c>
      <c r="CR5" s="356">
        <v>43282</v>
      </c>
      <c r="CS5" s="370" t="s">
        <v>15</v>
      </c>
      <c r="CT5" s="370"/>
      <c r="CU5" s="371">
        <v>1</v>
      </c>
      <c r="CV5" s="371">
        <v>1</v>
      </c>
      <c r="CW5" s="370">
        <v>1</v>
      </c>
      <c r="CX5" s="494">
        <f>'FPS Pivot Table'!E15</f>
        <v>28.8</v>
      </c>
      <c r="CY5" s="661">
        <f>ROUND(+CX5*(1+$CY$4),2)</f>
        <v>29.95</v>
      </c>
      <c r="CZ5" s="158"/>
      <c r="DA5" s="313" t="str">
        <f t="shared" ref="DA5:DA68" si="9">CONCATENATE(DH5,DF5,DG5)</f>
        <v>111</v>
      </c>
      <c r="DB5" s="356">
        <v>43282</v>
      </c>
      <c r="DC5" s="356">
        <v>43282</v>
      </c>
      <c r="DD5" s="371" t="s">
        <v>375</v>
      </c>
      <c r="DE5" s="377"/>
      <c r="DF5" s="377">
        <v>1</v>
      </c>
      <c r="DG5" s="377">
        <v>1</v>
      </c>
      <c r="DH5" s="377">
        <v>1</v>
      </c>
      <c r="DI5" s="494">
        <f>'FPS Pivot Table'!F15</f>
        <v>27.12</v>
      </c>
      <c r="DJ5" s="42"/>
      <c r="DK5" s="313" t="str">
        <f t="shared" ref="DK5:DK36" si="10">CONCATENATE(DR5,DP5,DQ5)</f>
        <v>111</v>
      </c>
      <c r="DL5" s="356">
        <v>43282</v>
      </c>
      <c r="DM5" s="356">
        <v>43282</v>
      </c>
      <c r="DN5" s="371" t="s">
        <v>375</v>
      </c>
      <c r="DO5" s="377"/>
      <c r="DP5" s="377">
        <v>1</v>
      </c>
      <c r="DQ5" s="377">
        <v>1</v>
      </c>
      <c r="DR5" s="377">
        <v>1</v>
      </c>
      <c r="DS5" s="494">
        <f>'FPS Pivot Table'!G15</f>
        <v>28.2</v>
      </c>
      <c r="DT5" s="661">
        <f>ROUND(+DS5*(1+$DT$4),2)</f>
        <v>29.33</v>
      </c>
      <c r="DU5" s="42"/>
      <c r="DV5" s="42"/>
      <c r="DW5" s="160" t="s">
        <v>140</v>
      </c>
      <c r="DX5" s="160" t="s">
        <v>152</v>
      </c>
      <c r="DY5" s="42"/>
      <c r="DZ5" s="161" t="str">
        <f t="shared" ref="DZ5:DZ52" si="11">CONCATENATE(EA5,EB5)</f>
        <v>AlleganyDay</v>
      </c>
      <c r="EA5" s="514" t="s">
        <v>179</v>
      </c>
      <c r="EB5" s="163" t="s">
        <v>134</v>
      </c>
      <c r="EC5" s="268">
        <v>22.11</v>
      </c>
      <c r="ED5" s="462">
        <v>27.03</v>
      </c>
      <c r="EE5" s="536">
        <f>'FY24_PCI2_Rates.locked v3'!$Q$18</f>
        <v>30.36</v>
      </c>
      <c r="EF5" s="661">
        <f>ROUND(+EE5*(1+$EF$4),2)</f>
        <v>31.57</v>
      </c>
      <c r="EG5" s="536"/>
      <c r="EH5" s="161" t="str">
        <f t="shared" ref="EH5:EH52" si="12">CONCATENATE(EI5,EJ5)</f>
        <v>AlleganyResidential</v>
      </c>
      <c r="EI5" s="162" t="s">
        <v>179</v>
      </c>
      <c r="EJ5" s="163" t="s">
        <v>376</v>
      </c>
      <c r="EK5" s="164">
        <v>19.78</v>
      </c>
      <c r="EL5" s="465">
        <v>24.18</v>
      </c>
      <c r="EM5" s="539">
        <f>'FY24_PCI2_Rates.locked v3'!$Q$25</f>
        <v>27.15</v>
      </c>
      <c r="EN5" s="661">
        <f>ROUND(+EM5*(1+$EN$4),2)</f>
        <v>28.24</v>
      </c>
      <c r="EO5" s="42"/>
      <c r="EP5" s="47" t="str">
        <f>IF(EQ5="","",MAX(EP$2:EP4)+1)</f>
        <v/>
      </c>
      <c r="EQ5" s="43" t="str">
        <f>IF(ER5&lt;&gt;0,ER5,"")</f>
        <v/>
      </c>
      <c r="ER5" s="150" t="str">
        <f>IF(AND(Budget!$E$12="Self-Direction",Budget!$A$12="Community Supports Waiver"),Budget!EV5,IF(AND(Budget!$E$12="Traditional",Budget!$A$12="Community Supports Waiver"),Budget!EW5,IF(AND(Budget!$E$12="Self-Direction",Budget!$A$12="Family Supports Waiver"),Budget!EZ5,IF(AND(Budget!$E$12="Traditional",Budget!$A$12="Family Supports Waiver"),Budget!FA5,IF(AND(Budget!$E$12="Traditional",Budget!$A$12="Community Pathways Waiver"),Budget!EY5,IF(AND(Budget!$E$12="Self-Direction",Budget!$A$12="Community Pathways Waiver"),Budget!EX5,""))))))</f>
        <v/>
      </c>
      <c r="ES5" s="232" t="str">
        <f t="shared" si="1"/>
        <v/>
      </c>
      <c r="ET5" s="42"/>
      <c r="EU5" s="42"/>
      <c r="EV5" s="27" t="s">
        <v>515</v>
      </c>
      <c r="EW5" s="27" t="s">
        <v>515</v>
      </c>
      <c r="EX5" s="27" t="s">
        <v>515</v>
      </c>
      <c r="EY5" s="27" t="s">
        <v>515</v>
      </c>
      <c r="EZ5" s="27" t="s">
        <v>515</v>
      </c>
      <c r="FA5" s="27" t="s">
        <v>515</v>
      </c>
      <c r="FC5" s="47" t="str">
        <f>IF(FD5="","",MAX(FC$2:FC4)+1)</f>
        <v/>
      </c>
      <c r="FD5" s="43" t="str">
        <f t="shared" si="3"/>
        <v/>
      </c>
      <c r="FE5" s="43">
        <f>IF(AND(Budget!$E$12="Self-Direction",Budget!$A$12="Community Supports Waiver"),Budget!FI5,IF(AND(Budget!$E$12="Traditional",Budget!$A$12="Community Supports Waiver"),Budget!FL5,IF(AND(Budget!$E$12="Self-Direction",Budget!$A$12="Community Pathways Waiver"),Budget!FJ5,IF(AND(Budget!$E$12="Traditional",Budget!$A$12="Community Pathways Waiver"),FK5,))))</f>
        <v>0</v>
      </c>
      <c r="FF5" s="48" t="str">
        <f t="shared" si="4"/>
        <v/>
      </c>
      <c r="FG5" s="42"/>
      <c r="FH5" s="42"/>
      <c r="FI5" s="18" t="s">
        <v>153</v>
      </c>
      <c r="FJ5" s="18" t="s">
        <v>153</v>
      </c>
      <c r="FK5" s="18" t="s">
        <v>138</v>
      </c>
      <c r="FL5" s="18" t="s">
        <v>138</v>
      </c>
      <c r="FN5" s="47" t="str">
        <f>IF(FO5="","",MAX(FN$2:FN4)+1)</f>
        <v/>
      </c>
      <c r="FO5" s="43" t="str">
        <f t="shared" si="2"/>
        <v/>
      </c>
      <c r="FP5" s="43">
        <f>IF(AND(Budget!$E$12="Self-Direction",Budget!$A$12="Community Supports Waiver"),Budget!FU5,IF(AND(Budget!$E$12="Traditional",Budget!$A$12="Community Supports Waiver"),Budget!FU5,IF(AND(Budget!$E$12="Self-Direction",Budget!$A$12="Community Pathways Waiver"),Budget!FU5,IF(AND(Budget!$E$12="Traditional",Budget!$A$12="Community Pathways Waiver"),FU5,))))</f>
        <v>0</v>
      </c>
      <c r="FQ5" s="48" t="str">
        <f t="shared" si="5"/>
        <v/>
      </c>
      <c r="FR5" s="42"/>
      <c r="FS5" s="42"/>
      <c r="FT5" s="18"/>
      <c r="FU5" s="18" t="s">
        <v>355</v>
      </c>
    </row>
    <row r="6" spans="1:180" ht="14.4" customHeight="1" thickBot="1">
      <c r="A6" s="614"/>
      <c r="D6" s="40" t="s">
        <v>226</v>
      </c>
      <c r="E6" s="25"/>
      <c r="F6" s="457"/>
      <c r="G6" s="457"/>
      <c r="H6" s="32"/>
      <c r="I6" s="97" t="s">
        <v>214</v>
      </c>
      <c r="J6" s="198"/>
      <c r="K6" s="249"/>
      <c r="L6" s="263"/>
      <c r="N6" s="88">
        <f>SUM(N26,K30,N60,P71)</f>
        <v>0</v>
      </c>
      <c r="O6" s="89">
        <f>SUM(R26,N30,R60,U71)</f>
        <v>0</v>
      </c>
      <c r="P6" s="89">
        <f>SUM(N6:O6)</f>
        <v>0</v>
      </c>
      <c r="Q6" s="77"/>
      <c r="AP6" s="151">
        <v>2</v>
      </c>
      <c r="AQ6" s="593" t="s">
        <v>200</v>
      </c>
      <c r="AR6" s="165" t="s">
        <v>127</v>
      </c>
      <c r="AS6" s="585" t="s">
        <v>2</v>
      </c>
      <c r="AT6" s="582">
        <v>2</v>
      </c>
      <c r="AU6" s="42"/>
      <c r="AV6" s="595" t="s">
        <v>160</v>
      </c>
      <c r="AW6" s="311">
        <v>1</v>
      </c>
      <c r="AX6" s="314">
        <v>1</v>
      </c>
      <c r="AY6" s="166" t="s">
        <v>0</v>
      </c>
      <c r="AZ6" s="42"/>
      <c r="BA6" s="42"/>
      <c r="BB6" s="313" t="str">
        <f t="shared" si="6"/>
        <v>11-19</v>
      </c>
      <c r="BC6" s="154" t="s">
        <v>13</v>
      </c>
      <c r="BD6" s="154" t="s">
        <v>14</v>
      </c>
      <c r="BE6" s="154" t="s">
        <v>26</v>
      </c>
      <c r="BF6" s="154" t="s">
        <v>0</v>
      </c>
      <c r="BG6" s="155">
        <v>30</v>
      </c>
      <c r="BH6" s="155">
        <v>27.91</v>
      </c>
      <c r="BI6" s="155">
        <v>22.37</v>
      </c>
      <c r="BJ6" s="156" t="s">
        <v>16</v>
      </c>
      <c r="BK6" s="154"/>
      <c r="BL6" s="313" t="str">
        <f t="shared" si="7"/>
        <v>128-82</v>
      </c>
      <c r="BM6" s="356">
        <v>43282</v>
      </c>
      <c r="BN6" s="356">
        <v>43282</v>
      </c>
      <c r="BO6" s="357" t="s">
        <v>26</v>
      </c>
      <c r="BP6" s="358" t="s">
        <v>3</v>
      </c>
      <c r="BQ6" s="400">
        <v>26.62</v>
      </c>
      <c r="BR6" s="400">
        <v>24.95</v>
      </c>
      <c r="BS6" s="400">
        <v>20</v>
      </c>
      <c r="BT6" s="359">
        <v>1</v>
      </c>
      <c r="BU6" s="42"/>
      <c r="BV6" s="313" t="str">
        <f t="shared" si="8"/>
        <v>128-82</v>
      </c>
      <c r="BW6" s="356">
        <v>43282</v>
      </c>
      <c r="BX6" s="356">
        <v>43282</v>
      </c>
      <c r="BY6" s="357" t="s">
        <v>26</v>
      </c>
      <c r="BZ6" s="358" t="s">
        <v>3</v>
      </c>
      <c r="CA6" s="448">
        <v>28.79</v>
      </c>
      <c r="CB6" s="448">
        <v>26.99</v>
      </c>
      <c r="CC6" s="448">
        <v>21.65</v>
      </c>
      <c r="CD6" s="359">
        <v>1</v>
      </c>
      <c r="CE6" s="154"/>
      <c r="CF6" s="313" t="str">
        <f t="shared" ref="CF6:CF69" si="13">CONCATENATE(CM6,CK6,CL6)</f>
        <v>112</v>
      </c>
      <c r="CG6" s="356">
        <v>43282</v>
      </c>
      <c r="CH6" s="356">
        <v>43282</v>
      </c>
      <c r="CI6" s="370" t="s">
        <v>15</v>
      </c>
      <c r="CJ6" s="370"/>
      <c r="CK6" s="371">
        <v>1</v>
      </c>
      <c r="CL6" s="371">
        <v>2</v>
      </c>
      <c r="CM6" s="370">
        <v>1</v>
      </c>
      <c r="CN6" s="494">
        <f>'FPS Pivot Table'!D16</f>
        <v>30.56</v>
      </c>
      <c r="CO6" s="158"/>
      <c r="CP6" s="313" t="str">
        <f t="shared" ref="CP6:CP69" si="14">CONCATENATE(CW6,CU6,CV6)</f>
        <v>112</v>
      </c>
      <c r="CQ6" s="356">
        <v>43282</v>
      </c>
      <c r="CR6" s="356">
        <v>43282</v>
      </c>
      <c r="CS6" s="370" t="s">
        <v>15</v>
      </c>
      <c r="CT6" s="370"/>
      <c r="CU6" s="371">
        <v>1</v>
      </c>
      <c r="CV6" s="371">
        <v>2</v>
      </c>
      <c r="CW6" s="370">
        <v>1</v>
      </c>
      <c r="CX6" s="494">
        <f>'FPS Pivot Table'!E16</f>
        <v>31.78</v>
      </c>
      <c r="CY6" s="661">
        <f t="shared" ref="CY6:CY69" si="15">ROUND(+CX6*(1+$CY$4),2)</f>
        <v>33.049999999999997</v>
      </c>
      <c r="CZ6" s="158"/>
      <c r="DA6" s="313" t="str">
        <f t="shared" si="9"/>
        <v>112</v>
      </c>
      <c r="DB6" s="356">
        <v>43282</v>
      </c>
      <c r="DC6" s="356">
        <v>43282</v>
      </c>
      <c r="DD6" s="371" t="s">
        <v>375</v>
      </c>
      <c r="DE6" s="377"/>
      <c r="DF6" s="377">
        <v>1</v>
      </c>
      <c r="DG6" s="377">
        <v>2</v>
      </c>
      <c r="DH6" s="377">
        <v>1</v>
      </c>
      <c r="DI6" s="494">
        <f>'FPS Pivot Table'!F16</f>
        <v>29.65</v>
      </c>
      <c r="DJ6" s="42"/>
      <c r="DK6" s="313" t="str">
        <f t="shared" si="10"/>
        <v>112</v>
      </c>
      <c r="DL6" s="356">
        <v>43282</v>
      </c>
      <c r="DM6" s="356">
        <v>43282</v>
      </c>
      <c r="DN6" s="371" t="s">
        <v>375</v>
      </c>
      <c r="DO6" s="377"/>
      <c r="DP6" s="377">
        <v>1</v>
      </c>
      <c r="DQ6" s="377">
        <v>2</v>
      </c>
      <c r="DR6" s="377">
        <v>1</v>
      </c>
      <c r="DS6" s="494">
        <f>'FPS Pivot Table'!G16</f>
        <v>30.84</v>
      </c>
      <c r="DT6" s="661">
        <f t="shared" ref="DT6:DT69" si="16">ROUND(+DS6*(1+$DT$4),2)</f>
        <v>32.07</v>
      </c>
      <c r="DU6" s="42"/>
      <c r="DV6" s="42"/>
      <c r="DW6" s="167" t="s">
        <v>139</v>
      </c>
      <c r="DX6" s="167" t="s">
        <v>152</v>
      </c>
      <c r="DY6" s="42"/>
      <c r="DZ6" s="161" t="str">
        <f t="shared" si="11"/>
        <v>AlleganySupported Employment</v>
      </c>
      <c r="EA6" s="515" t="s">
        <v>179</v>
      </c>
      <c r="EB6" s="168" t="s">
        <v>152</v>
      </c>
      <c r="EC6" s="169">
        <v>22.11</v>
      </c>
      <c r="ED6" s="462">
        <v>27.03</v>
      </c>
      <c r="EE6" s="536">
        <f>'FY24_PCI2_Rates.locked v3'!$Q$18</f>
        <v>30.36</v>
      </c>
      <c r="EF6" s="661">
        <f t="shared" ref="EF6:EF52" si="17">ROUND(+EE6*(1+$EF$4),2)</f>
        <v>31.57</v>
      </c>
      <c r="EG6" s="536"/>
      <c r="EH6" s="161" t="str">
        <f t="shared" si="12"/>
        <v>AlleganyResidential</v>
      </c>
      <c r="EI6" s="161" t="s">
        <v>179</v>
      </c>
      <c r="EJ6" s="168" t="s">
        <v>376</v>
      </c>
      <c r="EK6" s="169">
        <v>19.78</v>
      </c>
      <c r="EL6" s="465">
        <v>24.18</v>
      </c>
      <c r="EM6" s="539">
        <f>'FY24_PCI2_Rates.locked v3'!$Q$25</f>
        <v>27.15</v>
      </c>
      <c r="EN6" s="661">
        <f t="shared" ref="EN6:EN52" si="18">ROUND(+EM6*(1+$EN$4),2)</f>
        <v>28.24</v>
      </c>
      <c r="EO6" s="42"/>
      <c r="EP6" s="47" t="str">
        <f>IF(EQ6="","",MAX(EP$2:EP5)+1)</f>
        <v/>
      </c>
      <c r="EQ6" s="43" t="str">
        <f t="shared" si="0"/>
        <v/>
      </c>
      <c r="ER6" s="150" t="str">
        <f>IF(AND(Budget!$E$12="Self-Direction",Budget!$A$12="Community Supports Waiver"),Budget!EV6,IF(AND(Budget!$E$12="Traditional",Budget!$A$12="Community Supports Waiver"),Budget!EW6,IF(AND(Budget!$E$12="Self-Direction",Budget!$A$12="Family Supports Waiver"),Budget!EZ6,IF(AND(Budget!$E$12="Traditional",Budget!$A$12="Family Supports Waiver"),Budget!FA6,IF(AND(Budget!$E$12="Traditional",Budget!$A$12="Community Pathways Waiver"),Budget!EY6,IF(AND(Budget!$E$12="Self-Direction",Budget!$A$12="Community Pathways Waiver"),Budget!EX6,""))))))</f>
        <v/>
      </c>
      <c r="ES6" s="232" t="str">
        <f t="shared" si="1"/>
        <v/>
      </c>
      <c r="ET6" s="42"/>
      <c r="EU6" s="42"/>
      <c r="EV6" s="27" t="s">
        <v>399</v>
      </c>
      <c r="EW6" s="27" t="s">
        <v>399</v>
      </c>
      <c r="EX6" s="27" t="s">
        <v>399</v>
      </c>
      <c r="EY6" s="27" t="s">
        <v>399</v>
      </c>
      <c r="EZ6" s="27" t="s">
        <v>399</v>
      </c>
      <c r="FA6" s="27" t="s">
        <v>399</v>
      </c>
      <c r="FC6" s="47" t="str">
        <f>IF(FD6="","",MAX(FC$2:FC5)+1)</f>
        <v/>
      </c>
      <c r="FD6" s="43" t="str">
        <f t="shared" si="3"/>
        <v/>
      </c>
      <c r="FE6" s="43">
        <f>IF(AND(Budget!$E$12="Self-Direction",Budget!$A$12="Community Supports Waiver"),Budget!FI6,IF(AND(Budget!$E$12="Traditional",Budget!$A$12="Community Supports Waiver"),Budget!FL6,IF(AND(Budget!$E$12="Self-Direction",Budget!$A$12="Community Pathways Waiver"),Budget!FJ6,IF(AND(Budget!$E$12="Traditional",Budget!$A$12="Community Pathways Waiver"),FK6,))))</f>
        <v>0</v>
      </c>
      <c r="FF6" s="48" t="str">
        <f t="shared" si="4"/>
        <v/>
      </c>
      <c r="FG6" s="42"/>
      <c r="FH6" s="42"/>
      <c r="FI6" s="27" t="s">
        <v>152</v>
      </c>
      <c r="FJ6" s="27" t="s">
        <v>152</v>
      </c>
      <c r="FK6" s="27" t="s">
        <v>136</v>
      </c>
      <c r="FL6" s="27" t="s">
        <v>136</v>
      </c>
      <c r="FN6" s="47" t="str">
        <f>IF(FO6="","",MAX(FN$2:FN5)+1)</f>
        <v/>
      </c>
      <c r="FO6" s="43" t="str">
        <f t="shared" si="2"/>
        <v/>
      </c>
      <c r="FP6" s="43">
        <f>IF(AND(Budget!$E$12="Self-Direction",Budget!$A$12="Community Supports Waiver"),Budget!FU6,IF(AND(Budget!$E$12="Traditional",Budget!$A$12="Community Supports Waiver"),Budget!FU6,IF(AND(Budget!$E$12="Self-Direction",Budget!$A$12="Community Pathways Waiver"),Budget!FU6,IF(AND(Budget!$E$12="Traditional",Budget!$A$12="Community Pathways Waiver"),FU6,))))</f>
        <v>0</v>
      </c>
      <c r="FQ6" s="48" t="str">
        <f t="shared" si="5"/>
        <v/>
      </c>
      <c r="FR6" s="42"/>
      <c r="FS6" s="42"/>
      <c r="FT6" s="27"/>
      <c r="FU6" s="27" t="s">
        <v>364</v>
      </c>
    </row>
    <row r="7" spans="1:180" ht="14.4" customHeight="1">
      <c r="A7" s="614"/>
      <c r="D7" s="40" t="s">
        <v>245</v>
      </c>
      <c r="E7" s="288"/>
      <c r="F7" s="458"/>
      <c r="G7" s="458"/>
      <c r="H7" s="32"/>
      <c r="I7" s="97" t="s">
        <v>376</v>
      </c>
      <c r="J7" s="199"/>
      <c r="K7" s="250"/>
      <c r="L7" s="264"/>
      <c r="P7" s="77"/>
      <c r="Q7" s="77"/>
      <c r="AP7" s="151">
        <v>3</v>
      </c>
      <c r="AQ7" s="593" t="s">
        <v>298</v>
      </c>
      <c r="AR7" s="42"/>
      <c r="AS7" s="585" t="s">
        <v>28</v>
      </c>
      <c r="AT7" s="582">
        <v>3</v>
      </c>
      <c r="AU7" s="42"/>
      <c r="AV7" s="595" t="s">
        <v>158</v>
      </c>
      <c r="AW7" s="311">
        <v>1</v>
      </c>
      <c r="AX7" s="314">
        <v>2</v>
      </c>
      <c r="AY7" s="166" t="s">
        <v>0</v>
      </c>
      <c r="AZ7" s="42"/>
      <c r="BA7" s="42"/>
      <c r="BB7" s="313" t="str">
        <f t="shared" si="6"/>
        <v>120-22</v>
      </c>
      <c r="BC7" s="154" t="s">
        <v>13</v>
      </c>
      <c r="BD7" s="154" t="s">
        <v>14</v>
      </c>
      <c r="BE7" s="154" t="s">
        <v>26</v>
      </c>
      <c r="BF7" s="154" t="s">
        <v>1</v>
      </c>
      <c r="BG7" s="155">
        <v>28.69</v>
      </c>
      <c r="BH7" s="155">
        <v>26.9</v>
      </c>
      <c r="BI7" s="155">
        <v>21.55</v>
      </c>
      <c r="BJ7" s="156" t="s">
        <v>16</v>
      </c>
      <c r="BK7" s="154"/>
      <c r="BL7" s="313" t="str">
        <f t="shared" si="7"/>
        <v>127</v>
      </c>
      <c r="BM7" s="356">
        <v>43282</v>
      </c>
      <c r="BN7" s="356">
        <v>43282</v>
      </c>
      <c r="BO7" s="357" t="s">
        <v>26</v>
      </c>
      <c r="BP7" s="358" t="s">
        <v>30</v>
      </c>
      <c r="BQ7" s="400">
        <v>27.01</v>
      </c>
      <c r="BR7" s="400">
        <v>25.32</v>
      </c>
      <c r="BS7" s="400">
        <v>20.28</v>
      </c>
      <c r="BT7" s="359">
        <v>1</v>
      </c>
      <c r="BU7" s="42"/>
      <c r="BV7" s="313" t="str">
        <f t="shared" si="8"/>
        <v>127</v>
      </c>
      <c r="BW7" s="356">
        <v>43282</v>
      </c>
      <c r="BX7" s="356">
        <v>43282</v>
      </c>
      <c r="BY7" s="357" t="s">
        <v>26</v>
      </c>
      <c r="BZ7" s="358" t="s">
        <v>30</v>
      </c>
      <c r="CA7" s="448">
        <v>29.21</v>
      </c>
      <c r="CB7" s="448">
        <v>27.38</v>
      </c>
      <c r="CC7" s="448">
        <v>21.93</v>
      </c>
      <c r="CD7" s="359">
        <v>1</v>
      </c>
      <c r="CE7" s="154"/>
      <c r="CF7" s="313" t="str">
        <f t="shared" si="13"/>
        <v>113</v>
      </c>
      <c r="CG7" s="356">
        <v>43282</v>
      </c>
      <c r="CH7" s="356">
        <v>43282</v>
      </c>
      <c r="CI7" s="370" t="s">
        <v>15</v>
      </c>
      <c r="CJ7" s="370"/>
      <c r="CK7" s="371">
        <v>1</v>
      </c>
      <c r="CL7" s="371">
        <v>3</v>
      </c>
      <c r="CM7" s="370">
        <v>1</v>
      </c>
      <c r="CN7" s="494">
        <f>'FPS Pivot Table'!D17</f>
        <v>35.229999999999997</v>
      </c>
      <c r="CO7" s="158"/>
      <c r="CP7" s="313" t="str">
        <f t="shared" si="14"/>
        <v>113</v>
      </c>
      <c r="CQ7" s="356">
        <v>43282</v>
      </c>
      <c r="CR7" s="356">
        <v>43282</v>
      </c>
      <c r="CS7" s="370" t="s">
        <v>15</v>
      </c>
      <c r="CT7" s="370"/>
      <c r="CU7" s="371">
        <v>1</v>
      </c>
      <c r="CV7" s="371">
        <v>3</v>
      </c>
      <c r="CW7" s="370">
        <v>1</v>
      </c>
      <c r="CX7" s="494">
        <f>'FPS Pivot Table'!E17</f>
        <v>36.64</v>
      </c>
      <c r="CY7" s="661">
        <f t="shared" si="15"/>
        <v>38.11</v>
      </c>
      <c r="CZ7" s="158"/>
      <c r="DA7" s="313" t="str">
        <f t="shared" si="9"/>
        <v>113</v>
      </c>
      <c r="DB7" s="356">
        <v>43282</v>
      </c>
      <c r="DC7" s="356">
        <v>43282</v>
      </c>
      <c r="DD7" s="371" t="s">
        <v>375</v>
      </c>
      <c r="DE7" s="377"/>
      <c r="DF7" s="377">
        <v>1</v>
      </c>
      <c r="DG7" s="377">
        <v>3</v>
      </c>
      <c r="DH7" s="377">
        <v>1</v>
      </c>
      <c r="DI7" s="494">
        <f>'FPS Pivot Table'!F17</f>
        <v>33.76</v>
      </c>
      <c r="DJ7" s="42"/>
      <c r="DK7" s="313" t="str">
        <f t="shared" si="10"/>
        <v>113</v>
      </c>
      <c r="DL7" s="356">
        <v>43282</v>
      </c>
      <c r="DM7" s="356">
        <v>43282</v>
      </c>
      <c r="DN7" s="371" t="s">
        <v>375</v>
      </c>
      <c r="DO7" s="377"/>
      <c r="DP7" s="377">
        <v>1</v>
      </c>
      <c r="DQ7" s="377">
        <v>3</v>
      </c>
      <c r="DR7" s="377">
        <v>1</v>
      </c>
      <c r="DS7" s="494">
        <f>'FPS Pivot Table'!G17</f>
        <v>35.11</v>
      </c>
      <c r="DT7" s="661">
        <f t="shared" si="16"/>
        <v>36.51</v>
      </c>
      <c r="DU7" s="42"/>
      <c r="DV7" s="42"/>
      <c r="DW7" s="167" t="s">
        <v>138</v>
      </c>
      <c r="DX7" s="167" t="s">
        <v>152</v>
      </c>
      <c r="DY7" s="42"/>
      <c r="DZ7" s="161" t="str">
        <f t="shared" si="11"/>
        <v>Anne ArundelDay</v>
      </c>
      <c r="EA7" s="516" t="s">
        <v>160</v>
      </c>
      <c r="EB7" s="168" t="s">
        <v>134</v>
      </c>
      <c r="EC7" s="169">
        <v>22.11</v>
      </c>
      <c r="ED7" s="462">
        <v>27.03</v>
      </c>
      <c r="EE7" s="536">
        <f>'FY24_PCI2_Rates.locked v3'!$Q$15</f>
        <v>30.36</v>
      </c>
      <c r="EF7" s="661">
        <f t="shared" si="17"/>
        <v>31.57</v>
      </c>
      <c r="EG7" s="536"/>
      <c r="EH7" s="161" t="str">
        <f t="shared" si="12"/>
        <v>Anne ArundelResidential</v>
      </c>
      <c r="EI7" s="161" t="s">
        <v>160</v>
      </c>
      <c r="EJ7" s="168" t="s">
        <v>376</v>
      </c>
      <c r="EK7" s="169">
        <v>19.78</v>
      </c>
      <c r="EL7" s="466">
        <v>24.18</v>
      </c>
      <c r="EM7" s="539">
        <f>'FY24_PCI2_Rates.locked v3'!$Q$22</f>
        <v>27.15</v>
      </c>
      <c r="EN7" s="661">
        <f t="shared" si="18"/>
        <v>28.24</v>
      </c>
      <c r="EO7" s="42"/>
      <c r="EP7" s="47" t="str">
        <f>IF(EQ7="","",MAX(EP$2:EP6)+1)</f>
        <v/>
      </c>
      <c r="EQ7" s="43" t="str">
        <f t="shared" si="0"/>
        <v/>
      </c>
      <c r="ER7" s="150" t="str">
        <f>IF(AND(Budget!$E$12="Self-Direction",Budget!$A$12="Community Supports Waiver"),Budget!EV7,IF(AND(Budget!$E$12="Traditional",Budget!$A$12="Community Supports Waiver"),Budget!EW7,IF(AND(Budget!$E$12="Self-Direction",Budget!$A$12="Family Supports Waiver"),Budget!EZ7,IF(AND(Budget!$E$12="Traditional",Budget!$A$12="Family Supports Waiver"),Budget!FA7,IF(AND(Budget!$E$12="Traditional",Budget!$A$12="Community Pathways Waiver"),Budget!EY7,IF(AND(Budget!$E$12="Self-Direction",Budget!$A$12="Community Pathways Waiver"),Budget!EX7,""))))))</f>
        <v/>
      </c>
      <c r="ES7" s="232" t="str">
        <f t="shared" si="1"/>
        <v/>
      </c>
      <c r="ET7" s="42"/>
      <c r="EU7" s="42"/>
      <c r="EV7" s="18" t="s">
        <v>400</v>
      </c>
      <c r="EW7" s="18" t="s">
        <v>400</v>
      </c>
      <c r="EX7" s="18" t="s">
        <v>400</v>
      </c>
      <c r="EY7" s="18" t="s">
        <v>400</v>
      </c>
      <c r="EZ7" s="18" t="s">
        <v>400</v>
      </c>
      <c r="FA7" s="18" t="s">
        <v>400</v>
      </c>
      <c r="FC7" s="47" t="str">
        <f>IF(FD7="","",MAX(FC$2:FC6)+1)</f>
        <v/>
      </c>
      <c r="FD7" s="43" t="str">
        <f t="shared" si="3"/>
        <v/>
      </c>
      <c r="FE7" s="43">
        <f>IF(AND(Budget!$E$12="Self-Direction",Budget!$A$12="Community Supports Waiver"),Budget!FI7,IF(AND(Budget!$E$12="Traditional",Budget!$A$12="Community Supports Waiver"),Budget!FL7,IF(AND(Budget!$E$12="Self-Direction",Budget!$A$12="Community Pathways Waiver"),Budget!FJ7,IF(AND(Budget!$E$12="Traditional",Budget!$A$12="Community Pathways Waiver"),FK7,))))</f>
        <v>0</v>
      </c>
      <c r="FF7" s="48" t="str">
        <f t="shared" si="4"/>
        <v/>
      </c>
      <c r="FG7" s="42"/>
      <c r="FH7" s="42"/>
      <c r="FI7" s="18"/>
      <c r="FJ7" s="18"/>
      <c r="FK7" s="18" t="s">
        <v>137</v>
      </c>
      <c r="FL7" s="18" t="s">
        <v>137</v>
      </c>
      <c r="FN7" s="47" t="str">
        <f>IF(FO7="","",MAX(FN$2:FN6)+1)</f>
        <v/>
      </c>
      <c r="FO7" s="43" t="str">
        <f t="shared" si="2"/>
        <v/>
      </c>
      <c r="FP7" s="43">
        <f>IF(AND(Budget!$E$12="Self-Direction",Budget!$A$12="Community Supports Waiver"),Budget!FU7,IF(AND(Budget!$E$12="Traditional",Budget!$A$12="Community Supports Waiver"),Budget!FU7,IF(AND(Budget!$E$12="Self-Direction",Budget!$A$12="Community Pathways Waiver"),Budget!FU7,IF(AND(Budget!$E$12="Traditional",Budget!$A$12="Community Pathways Waiver"),FU7,))))</f>
        <v>0</v>
      </c>
      <c r="FQ7" s="48" t="str">
        <f t="shared" si="5"/>
        <v/>
      </c>
      <c r="FR7" s="42"/>
      <c r="FS7" s="42"/>
      <c r="FT7" s="18"/>
      <c r="FU7" s="18"/>
    </row>
    <row r="8" spans="1:180" ht="14.4" customHeight="1" thickBot="1">
      <c r="A8" s="469" t="b">
        <f>IF(E9&lt;&gt;"",IF(MONTH(E9)&gt;=7,DATE(YEAR(E9),7,1),DATE(YEAR(E9)-1,7,1)))</f>
        <v>0</v>
      </c>
      <c r="D8" s="26" t="s">
        <v>741</v>
      </c>
      <c r="E8" s="673"/>
      <c r="F8" s="458"/>
      <c r="G8" s="458"/>
      <c r="I8" s="98" t="s">
        <v>377</v>
      </c>
      <c r="J8" s="200"/>
      <c r="K8" s="251"/>
      <c r="L8" s="265"/>
      <c r="M8" s="32"/>
      <c r="N8" s="224"/>
      <c r="O8" s="177"/>
      <c r="P8" s="77"/>
      <c r="Q8" s="77"/>
      <c r="AP8" s="170">
        <v>4</v>
      </c>
      <c r="AQ8" s="594" t="s">
        <v>421</v>
      </c>
      <c r="AR8" s="42"/>
      <c r="AS8" s="585" t="s">
        <v>29</v>
      </c>
      <c r="AT8" s="582">
        <v>4</v>
      </c>
      <c r="AU8" s="42"/>
      <c r="AV8" s="595" t="s">
        <v>159</v>
      </c>
      <c r="AW8" s="311">
        <v>1</v>
      </c>
      <c r="AX8" s="314">
        <v>3</v>
      </c>
      <c r="AY8" s="166" t="s">
        <v>0</v>
      </c>
      <c r="AZ8" s="42"/>
      <c r="BA8" s="42"/>
      <c r="BB8" s="313" t="str">
        <f t="shared" si="6"/>
        <v>123-24</v>
      </c>
      <c r="BC8" s="154" t="s">
        <v>13</v>
      </c>
      <c r="BD8" s="154" t="s">
        <v>14</v>
      </c>
      <c r="BE8" s="154" t="s">
        <v>26</v>
      </c>
      <c r="BF8" s="154" t="s">
        <v>2</v>
      </c>
      <c r="BG8" s="155">
        <v>27.73</v>
      </c>
      <c r="BH8" s="155">
        <v>25.99</v>
      </c>
      <c r="BI8" s="155">
        <v>20.81</v>
      </c>
      <c r="BJ8" s="156" t="s">
        <v>16</v>
      </c>
      <c r="BK8" s="154"/>
      <c r="BL8" s="313" t="str">
        <f t="shared" si="7"/>
        <v>126</v>
      </c>
      <c r="BM8" s="356">
        <v>43282</v>
      </c>
      <c r="BN8" s="356">
        <v>43282</v>
      </c>
      <c r="BO8" s="357" t="s">
        <v>26</v>
      </c>
      <c r="BP8" s="358" t="s">
        <v>29</v>
      </c>
      <c r="BQ8" s="400">
        <v>27.84</v>
      </c>
      <c r="BR8" s="400">
        <v>26.09</v>
      </c>
      <c r="BS8" s="400">
        <v>20.92</v>
      </c>
      <c r="BT8" s="359">
        <v>1</v>
      </c>
      <c r="BU8" s="42"/>
      <c r="BV8" s="313" t="str">
        <f t="shared" si="8"/>
        <v>126</v>
      </c>
      <c r="BW8" s="356">
        <v>43282</v>
      </c>
      <c r="BX8" s="356">
        <v>43282</v>
      </c>
      <c r="BY8" s="357" t="s">
        <v>26</v>
      </c>
      <c r="BZ8" s="358" t="s">
        <v>29</v>
      </c>
      <c r="CA8" s="448">
        <v>30.11</v>
      </c>
      <c r="CB8" s="448">
        <v>28.22</v>
      </c>
      <c r="CC8" s="448">
        <v>22.63</v>
      </c>
      <c r="CD8" s="359">
        <v>1</v>
      </c>
      <c r="CE8" s="154"/>
      <c r="CF8" s="313" t="str">
        <f t="shared" si="13"/>
        <v>114</v>
      </c>
      <c r="CG8" s="356">
        <v>43282</v>
      </c>
      <c r="CH8" s="356">
        <v>43282</v>
      </c>
      <c r="CI8" s="370" t="s">
        <v>15</v>
      </c>
      <c r="CJ8" s="370"/>
      <c r="CK8" s="371">
        <v>1</v>
      </c>
      <c r="CL8" s="371">
        <v>4</v>
      </c>
      <c r="CM8" s="370">
        <v>1</v>
      </c>
      <c r="CN8" s="494">
        <f>'FPS Pivot Table'!D18</f>
        <v>41.56</v>
      </c>
      <c r="CO8" s="158"/>
      <c r="CP8" s="313" t="str">
        <f t="shared" si="14"/>
        <v>114</v>
      </c>
      <c r="CQ8" s="356">
        <v>43282</v>
      </c>
      <c r="CR8" s="356">
        <v>43282</v>
      </c>
      <c r="CS8" s="370" t="s">
        <v>15</v>
      </c>
      <c r="CT8" s="370"/>
      <c r="CU8" s="371">
        <v>1</v>
      </c>
      <c r="CV8" s="371">
        <v>4</v>
      </c>
      <c r="CW8" s="370">
        <v>1</v>
      </c>
      <c r="CX8" s="494">
        <f>'FPS Pivot Table'!E18</f>
        <v>43.22</v>
      </c>
      <c r="CY8" s="661">
        <f t="shared" si="15"/>
        <v>44.95</v>
      </c>
      <c r="CZ8" s="158"/>
      <c r="DA8" s="313" t="str">
        <f t="shared" si="9"/>
        <v>114</v>
      </c>
      <c r="DB8" s="356">
        <v>43282</v>
      </c>
      <c r="DC8" s="356">
        <v>43282</v>
      </c>
      <c r="DD8" s="371" t="s">
        <v>375</v>
      </c>
      <c r="DE8" s="377"/>
      <c r="DF8" s="377">
        <v>1</v>
      </c>
      <c r="DG8" s="377">
        <v>4</v>
      </c>
      <c r="DH8" s="377">
        <v>1</v>
      </c>
      <c r="DI8" s="494">
        <f>'FPS Pivot Table'!F18</f>
        <v>39.299999999999997</v>
      </c>
      <c r="DJ8" s="42"/>
      <c r="DK8" s="313" t="str">
        <f t="shared" si="10"/>
        <v>114</v>
      </c>
      <c r="DL8" s="356">
        <v>43282</v>
      </c>
      <c r="DM8" s="356">
        <v>43282</v>
      </c>
      <c r="DN8" s="371" t="s">
        <v>375</v>
      </c>
      <c r="DO8" s="377"/>
      <c r="DP8" s="377">
        <v>1</v>
      </c>
      <c r="DQ8" s="377">
        <v>4</v>
      </c>
      <c r="DR8" s="377">
        <v>1</v>
      </c>
      <c r="DS8" s="494">
        <f>'FPS Pivot Table'!G18</f>
        <v>40.869999999999997</v>
      </c>
      <c r="DT8" s="661">
        <f t="shared" si="16"/>
        <v>42.5</v>
      </c>
      <c r="DU8" s="42"/>
      <c r="DV8" s="42"/>
      <c r="DW8" s="167" t="s">
        <v>136</v>
      </c>
      <c r="DX8" s="167" t="s">
        <v>134</v>
      </c>
      <c r="DY8" s="42"/>
      <c r="DZ8" s="161" t="str">
        <f t="shared" si="11"/>
        <v>Anne ArundelSupported Employment</v>
      </c>
      <c r="EA8" s="516" t="s">
        <v>160</v>
      </c>
      <c r="EB8" s="168" t="s">
        <v>152</v>
      </c>
      <c r="EC8" s="169">
        <v>22.11</v>
      </c>
      <c r="ED8" s="462">
        <v>27.03</v>
      </c>
      <c r="EE8" s="536">
        <f>'FY24_PCI2_Rates.locked v3'!$Q$15</f>
        <v>30.36</v>
      </c>
      <c r="EF8" s="661">
        <f t="shared" si="17"/>
        <v>31.57</v>
      </c>
      <c r="EG8" s="536"/>
      <c r="EH8" s="161" t="str">
        <f t="shared" si="12"/>
        <v>Anne ArundelResidential</v>
      </c>
      <c r="EI8" s="161" t="s">
        <v>160</v>
      </c>
      <c r="EJ8" s="168" t="s">
        <v>376</v>
      </c>
      <c r="EK8" s="169">
        <v>19.78</v>
      </c>
      <c r="EL8" s="466">
        <v>24.18</v>
      </c>
      <c r="EM8" s="539">
        <f>'FY24_PCI2_Rates.locked v3'!$Q$22</f>
        <v>27.15</v>
      </c>
      <c r="EN8" s="661">
        <f t="shared" si="18"/>
        <v>28.24</v>
      </c>
      <c r="EO8" s="42"/>
      <c r="EP8" s="47" t="str">
        <f>IF(EQ8="","",MAX(EP$2:EP7)+1)</f>
        <v/>
      </c>
      <c r="EQ8" s="43" t="str">
        <f t="shared" si="0"/>
        <v/>
      </c>
      <c r="ER8" s="150" t="str">
        <f>IF(AND(Budget!$E$12="Self-Direction",Budget!$A$12="Community Supports Waiver"),Budget!EV8,IF(AND(Budget!$E$12="Traditional",Budget!$A$12="Community Supports Waiver"),Budget!EW8,IF(AND(Budget!$E$12="Self-Direction",Budget!$A$12="Family Supports Waiver"),Budget!EZ8,IF(AND(Budget!$E$12="Traditional",Budget!$A$12="Family Supports Waiver"),Budget!FA8,IF(AND(Budget!$E$12="Traditional",Budget!$A$12="Community Pathways Waiver"),Budget!EY8,IF(AND(Budget!$E$12="Self-Direction",Budget!$A$12="Community Pathways Waiver"),Budget!EX8,""))))))</f>
        <v/>
      </c>
      <c r="ES8" s="232" t="str">
        <f t="shared" si="1"/>
        <v/>
      </c>
      <c r="ET8" s="42"/>
      <c r="EU8" s="42"/>
      <c r="EV8" s="27" t="s">
        <v>66</v>
      </c>
      <c r="EW8" s="27" t="s">
        <v>66</v>
      </c>
      <c r="EX8" s="27" t="s">
        <v>66</v>
      </c>
      <c r="EY8" s="27" t="s">
        <v>66</v>
      </c>
      <c r="EZ8" s="27" t="s">
        <v>66</v>
      </c>
      <c r="FA8" s="27" t="s">
        <v>66</v>
      </c>
      <c r="FC8" s="47" t="str">
        <f>IF(FD8="","",MAX(FC$2:FC7)+1)</f>
        <v/>
      </c>
      <c r="FD8" s="43" t="str">
        <f t="shared" si="3"/>
        <v/>
      </c>
      <c r="FE8" s="43">
        <f>IF(AND(Budget!$E$12="Self-Direction",Budget!$A$12="Community Supports Waiver"),Budget!FI8,IF(AND(Budget!$E$12="Traditional",Budget!$A$12="Community Supports Waiver"),Budget!FL8,IF(AND(Budget!$E$12="Self-Direction",Budget!$A$12="Community Pathways Waiver"),Budget!FJ8,IF(AND(Budget!$E$12="Traditional",Budget!$A$12="Community Pathways Waiver"),FK8,))))</f>
        <v>0</v>
      </c>
      <c r="FF8" s="48" t="str">
        <f t="shared" si="4"/>
        <v/>
      </c>
      <c r="FG8" s="42"/>
      <c r="FH8" s="42"/>
      <c r="FI8" s="27"/>
      <c r="FJ8" s="27"/>
      <c r="FK8" s="27" t="s">
        <v>153</v>
      </c>
      <c r="FL8" s="27" t="s">
        <v>153</v>
      </c>
      <c r="FN8" s="47" t="str">
        <f>IF(FO8="","",MAX(FN$2:FN7)+1)</f>
        <v/>
      </c>
      <c r="FO8" s="43" t="str">
        <f t="shared" si="2"/>
        <v/>
      </c>
      <c r="FP8" s="43">
        <f>IF(AND(Budget!$E$12="Self-Direction",Budget!$A$12="Community Supports Waiver"),Budget!FU8,IF(AND(Budget!$E$12="Traditional",Budget!$A$12="Community Supports Waiver"),Budget!FU8,IF(AND(Budget!$E$12="Self-Direction",Budget!$A$12="Community Pathways Waiver"),Budget!FU8,IF(AND(Budget!$E$12="Traditional",Budget!$A$12="Community Pathways Waiver"),FU8,))))</f>
        <v>0</v>
      </c>
      <c r="FQ8" s="48" t="str">
        <f t="shared" si="5"/>
        <v/>
      </c>
      <c r="FR8" s="42"/>
      <c r="FS8" s="42"/>
      <c r="FT8" s="27"/>
      <c r="FU8" s="27"/>
    </row>
    <row r="9" spans="1:180" ht="14.4" customHeight="1">
      <c r="A9" s="469">
        <f>E10+1</f>
        <v>1</v>
      </c>
      <c r="D9" s="26" t="s">
        <v>742</v>
      </c>
      <c r="E9" s="673"/>
      <c r="F9" s="458"/>
      <c r="G9" s="458"/>
      <c r="I9" s="32"/>
      <c r="J9" s="32"/>
      <c r="K9" s="32"/>
      <c r="L9" s="32"/>
      <c r="M9" s="77"/>
      <c r="N9" s="77"/>
      <c r="AP9" s="242">
        <v>5</v>
      </c>
      <c r="AQ9" s="244"/>
      <c r="AR9" s="244"/>
      <c r="AS9" s="586" t="s">
        <v>30</v>
      </c>
      <c r="AT9" s="583">
        <v>5</v>
      </c>
      <c r="AU9" s="244"/>
      <c r="AV9" s="596" t="s">
        <v>165</v>
      </c>
      <c r="AW9" s="315">
        <v>2</v>
      </c>
      <c r="AX9" s="316">
        <v>4</v>
      </c>
      <c r="AY9" s="225" t="s">
        <v>0</v>
      </c>
      <c r="AZ9" s="244"/>
      <c r="BA9" s="244"/>
      <c r="BB9" s="317" t="str">
        <f t="shared" si="6"/>
        <v>125</v>
      </c>
      <c r="BC9" s="226" t="s">
        <v>13</v>
      </c>
      <c r="BD9" s="226" t="s">
        <v>14</v>
      </c>
      <c r="BE9" s="226" t="s">
        <v>26</v>
      </c>
      <c r="BF9" s="226" t="s">
        <v>28</v>
      </c>
      <c r="BG9" s="155">
        <v>26.84</v>
      </c>
      <c r="BH9" s="155">
        <v>25.15</v>
      </c>
      <c r="BI9" s="155">
        <v>20.149999999999999</v>
      </c>
      <c r="BJ9" s="227" t="s">
        <v>16</v>
      </c>
      <c r="BK9" s="226"/>
      <c r="BL9" s="317" t="str">
        <f t="shared" si="7"/>
        <v>125</v>
      </c>
      <c r="BM9" s="356">
        <v>43282</v>
      </c>
      <c r="BN9" s="356">
        <v>43282</v>
      </c>
      <c r="BO9" s="360" t="s">
        <v>26</v>
      </c>
      <c r="BP9" s="358" t="s">
        <v>28</v>
      </c>
      <c r="BQ9" s="400">
        <v>28.75</v>
      </c>
      <c r="BR9" s="400">
        <v>26.94</v>
      </c>
      <c r="BS9" s="400">
        <v>21.59</v>
      </c>
      <c r="BT9" s="359">
        <v>1</v>
      </c>
      <c r="BU9" s="42"/>
      <c r="BV9" s="317" t="str">
        <f t="shared" si="8"/>
        <v>125</v>
      </c>
      <c r="BW9" s="356">
        <v>43282</v>
      </c>
      <c r="BX9" s="356">
        <v>43282</v>
      </c>
      <c r="BY9" s="360" t="s">
        <v>26</v>
      </c>
      <c r="BZ9" s="358" t="s">
        <v>28</v>
      </c>
      <c r="CA9" s="448">
        <v>31.1</v>
      </c>
      <c r="CB9" s="448">
        <v>29.14</v>
      </c>
      <c r="CC9" s="448">
        <v>23.35</v>
      </c>
      <c r="CD9" s="359">
        <v>1</v>
      </c>
      <c r="CE9" s="226"/>
      <c r="CF9" s="313" t="str">
        <f t="shared" si="13"/>
        <v>115</v>
      </c>
      <c r="CG9" s="356">
        <v>43282</v>
      </c>
      <c r="CH9" s="356">
        <v>43282</v>
      </c>
      <c r="CI9" s="370" t="s">
        <v>15</v>
      </c>
      <c r="CJ9" s="370"/>
      <c r="CK9" s="371">
        <v>1</v>
      </c>
      <c r="CL9" s="371">
        <v>5</v>
      </c>
      <c r="CM9" s="370">
        <v>1</v>
      </c>
      <c r="CN9" s="494">
        <f>'FPS Pivot Table'!D19</f>
        <v>47.1</v>
      </c>
      <c r="CO9" s="158"/>
      <c r="CP9" s="313" t="str">
        <f t="shared" si="14"/>
        <v>115</v>
      </c>
      <c r="CQ9" s="356">
        <v>43282</v>
      </c>
      <c r="CR9" s="356">
        <v>43282</v>
      </c>
      <c r="CS9" s="370" t="s">
        <v>15</v>
      </c>
      <c r="CT9" s="370"/>
      <c r="CU9" s="371">
        <v>1</v>
      </c>
      <c r="CV9" s="371">
        <v>5</v>
      </c>
      <c r="CW9" s="370">
        <v>1</v>
      </c>
      <c r="CX9" s="494">
        <f>'FPS Pivot Table'!E19</f>
        <v>48.98</v>
      </c>
      <c r="CY9" s="661">
        <f t="shared" si="15"/>
        <v>50.94</v>
      </c>
      <c r="CZ9" s="158"/>
      <c r="DA9" s="313" t="str">
        <f t="shared" si="9"/>
        <v>115</v>
      </c>
      <c r="DB9" s="356">
        <v>43282</v>
      </c>
      <c r="DC9" s="356">
        <v>43282</v>
      </c>
      <c r="DD9" s="371" t="s">
        <v>375</v>
      </c>
      <c r="DE9" s="377"/>
      <c r="DF9" s="377">
        <v>1</v>
      </c>
      <c r="DG9" s="377">
        <v>5</v>
      </c>
      <c r="DH9" s="377">
        <v>1</v>
      </c>
      <c r="DI9" s="494">
        <f>'FPS Pivot Table'!F19</f>
        <v>44.14</v>
      </c>
      <c r="DJ9" s="244"/>
      <c r="DK9" s="313" t="str">
        <f t="shared" si="10"/>
        <v>115</v>
      </c>
      <c r="DL9" s="356">
        <v>43282</v>
      </c>
      <c r="DM9" s="356">
        <v>43282</v>
      </c>
      <c r="DN9" s="371" t="s">
        <v>375</v>
      </c>
      <c r="DO9" s="377"/>
      <c r="DP9" s="377">
        <v>1</v>
      </c>
      <c r="DQ9" s="377">
        <v>5</v>
      </c>
      <c r="DR9" s="377">
        <v>1</v>
      </c>
      <c r="DS9" s="494">
        <f>'FPS Pivot Table'!G19</f>
        <v>45.91</v>
      </c>
      <c r="DT9" s="661">
        <f t="shared" si="16"/>
        <v>47.75</v>
      </c>
      <c r="DU9" s="244"/>
      <c r="DV9" s="244"/>
      <c r="DW9" s="243" t="s">
        <v>137</v>
      </c>
      <c r="DX9" s="243" t="s">
        <v>134</v>
      </c>
      <c r="DY9" s="244"/>
      <c r="DZ9" s="228" t="str">
        <f t="shared" si="11"/>
        <v>Baltimore CityDay</v>
      </c>
      <c r="EA9" s="516" t="s">
        <v>158</v>
      </c>
      <c r="EB9" s="463" t="s">
        <v>134</v>
      </c>
      <c r="EC9" s="229">
        <v>22.11</v>
      </c>
      <c r="ED9" s="462">
        <v>27.03</v>
      </c>
      <c r="EE9" s="536">
        <f>'FY24_PCI2_Rates.locked v3'!$Q$15</f>
        <v>30.36</v>
      </c>
      <c r="EF9" s="661">
        <f t="shared" si="17"/>
        <v>31.57</v>
      </c>
      <c r="EG9" s="536"/>
      <c r="EH9" s="228" t="str">
        <f t="shared" si="12"/>
        <v>Baltimore CityResidential</v>
      </c>
      <c r="EI9" s="228" t="s">
        <v>158</v>
      </c>
      <c r="EJ9" s="168" t="s">
        <v>376</v>
      </c>
      <c r="EK9" s="229">
        <v>19.78</v>
      </c>
      <c r="EL9" s="466">
        <v>24.18</v>
      </c>
      <c r="EM9" s="539">
        <f>'FY24_PCI2_Rates.locked v3'!$Q$22</f>
        <v>27.15</v>
      </c>
      <c r="EN9" s="661">
        <f t="shared" si="18"/>
        <v>28.24</v>
      </c>
      <c r="EO9" s="244"/>
      <c r="EP9" s="230" t="str">
        <f>IF(EQ9="","",MAX(EP$2:EP8)+1)</f>
        <v/>
      </c>
      <c r="EQ9" s="231" t="str">
        <f t="shared" si="0"/>
        <v/>
      </c>
      <c r="ER9" s="150" t="str">
        <f>IF(AND(Budget!$E$12="Self-Direction",Budget!$A$12="Community Supports Waiver"),Budget!EV9,IF(AND(Budget!$E$12="Traditional",Budget!$A$12="Community Supports Waiver"),Budget!EW9,IF(AND(Budget!$E$12="Self-Direction",Budget!$A$12="Family Supports Waiver"),Budget!EZ9,IF(AND(Budget!$E$12="Traditional",Budget!$A$12="Family Supports Waiver"),Budget!FA9,IF(AND(Budget!$E$12="Traditional",Budget!$A$12="Community Pathways Waiver"),Budget!EY9,IF(AND(Budget!$E$12="Self-Direction",Budget!$A$12="Community Pathways Waiver"),Budget!EX9,""))))))</f>
        <v/>
      </c>
      <c r="ES9" s="232" t="str">
        <f t="shared" si="1"/>
        <v/>
      </c>
      <c r="ET9" s="244"/>
      <c r="EU9" s="244"/>
      <c r="EV9" s="233" t="s">
        <v>71</v>
      </c>
      <c r="EW9" s="233" t="s">
        <v>71</v>
      </c>
      <c r="EX9" s="18" t="s">
        <v>71</v>
      </c>
      <c r="EY9" s="18" t="s">
        <v>71</v>
      </c>
      <c r="EZ9" s="18" t="s">
        <v>71</v>
      </c>
      <c r="FA9" s="18" t="s">
        <v>71</v>
      </c>
      <c r="FB9" s="77"/>
      <c r="FC9" s="230" t="str">
        <f>IF(FD9="","",MAX(FC$2:FC8)+1)</f>
        <v/>
      </c>
      <c r="FD9" s="231" t="str">
        <f t="shared" si="3"/>
        <v/>
      </c>
      <c r="FE9" s="231">
        <f>IF(AND(Budget!$E$12="Self-Direction",Budget!$A$12="Community Supports Waiver"),Budget!FI9,IF(AND(Budget!$E$12="Traditional",Budget!$A$12="Community Supports Waiver"),Budget!FL9,IF(AND(Budget!$E$12="Self-Direction",Budget!$A$12="Community Pathways Waiver"),Budget!FJ9,IF(AND(Budget!$E$12="Traditional",Budget!$A$12="Community Pathways Waiver"),FK9,))))</f>
        <v>0</v>
      </c>
      <c r="FF9" s="232" t="str">
        <f t="shared" si="4"/>
        <v/>
      </c>
      <c r="FG9" s="244"/>
      <c r="FH9" s="244"/>
      <c r="FI9" s="233"/>
      <c r="FJ9" s="18"/>
      <c r="FK9" s="18" t="s">
        <v>152</v>
      </c>
      <c r="FL9" s="18" t="s">
        <v>152</v>
      </c>
      <c r="FM9" s="77"/>
      <c r="FN9" s="230" t="str">
        <f>IF(FO9="","",MAX(FN$2:FN8)+1)</f>
        <v/>
      </c>
      <c r="FO9" s="231" t="str">
        <f t="shared" si="2"/>
        <v/>
      </c>
      <c r="FP9" s="43">
        <f>IF(AND(Budget!$E$12="Self-Direction",Budget!$A$12="Community Supports Waiver"),Budget!FU9,IF(AND(Budget!$E$12="Traditional",Budget!$A$12="Community Supports Waiver"),Budget!FU9,IF(AND(Budget!$E$12="Self-Direction",Budget!$A$12="Community Pathways Waiver"),Budget!FU9,IF(AND(Budget!$E$12="Traditional",Budget!$A$12="Community Pathways Waiver"),FU9,))))</f>
        <v>0</v>
      </c>
      <c r="FQ9" s="232" t="str">
        <f t="shared" si="5"/>
        <v/>
      </c>
      <c r="FR9" s="244"/>
      <c r="FS9" s="244"/>
      <c r="FT9" s="18"/>
      <c r="FU9" s="18"/>
      <c r="FV9" s="77"/>
      <c r="FW9" s="77"/>
      <c r="FX9" s="77"/>
    </row>
    <row r="10" spans="1:180" ht="29.4" thickBot="1">
      <c r="A10" s="469" t="b">
        <f>IF(E9&lt;&gt;"",IF(MONTH(E10)&gt;=7,DATE(YEAR(E10)+1,7,1),DATE(YEAR(E10),7,1)))</f>
        <v>0</v>
      </c>
      <c r="D10" s="602" t="s">
        <v>778</v>
      </c>
      <c r="E10" s="675"/>
      <c r="F10" s="458">
        <f>+A10-E10</f>
        <v>0</v>
      </c>
      <c r="G10" s="458"/>
      <c r="I10" s="75"/>
      <c r="J10" s="75"/>
      <c r="K10" s="75"/>
      <c r="L10" s="457"/>
      <c r="M10" s="77" t="s">
        <v>487</v>
      </c>
      <c r="N10" s="77"/>
      <c r="O10" s="77"/>
      <c r="P10" s="77"/>
      <c r="Q10" s="77"/>
      <c r="AP10" s="245">
        <v>6</v>
      </c>
      <c r="AQ10" s="244"/>
      <c r="AR10" s="244"/>
      <c r="AS10" s="586" t="s">
        <v>3</v>
      </c>
      <c r="AT10" s="246" t="s">
        <v>91</v>
      </c>
      <c r="AU10" s="244"/>
      <c r="AV10" s="596" t="s">
        <v>171</v>
      </c>
      <c r="AW10" s="315">
        <v>3</v>
      </c>
      <c r="AX10" s="316">
        <v>5</v>
      </c>
      <c r="AY10" s="225" t="s">
        <v>0</v>
      </c>
      <c r="AZ10" s="244"/>
      <c r="BA10" s="244"/>
      <c r="BB10" s="317" t="str">
        <f t="shared" si="6"/>
        <v>126</v>
      </c>
      <c r="BC10" s="226" t="s">
        <v>13</v>
      </c>
      <c r="BD10" s="226" t="s">
        <v>14</v>
      </c>
      <c r="BE10" s="226" t="s">
        <v>26</v>
      </c>
      <c r="BF10" s="226" t="s">
        <v>29</v>
      </c>
      <c r="BG10" s="155">
        <v>25.99</v>
      </c>
      <c r="BH10" s="155">
        <v>24.36</v>
      </c>
      <c r="BI10" s="155">
        <v>19.53</v>
      </c>
      <c r="BJ10" s="227" t="s">
        <v>16</v>
      </c>
      <c r="BK10" s="226"/>
      <c r="BL10" s="317" t="str">
        <f t="shared" si="7"/>
        <v>123-24</v>
      </c>
      <c r="BM10" s="356">
        <v>43282</v>
      </c>
      <c r="BN10" s="356">
        <v>43282</v>
      </c>
      <c r="BO10" s="360" t="s">
        <v>26</v>
      </c>
      <c r="BP10" s="358" t="s">
        <v>2</v>
      </c>
      <c r="BQ10" s="400">
        <v>29.7</v>
      </c>
      <c r="BR10" s="400">
        <v>27.84</v>
      </c>
      <c r="BS10" s="400">
        <v>22.29</v>
      </c>
      <c r="BT10" s="359">
        <v>1</v>
      </c>
      <c r="BU10" s="42"/>
      <c r="BV10" s="317" t="str">
        <f t="shared" si="8"/>
        <v>123-24</v>
      </c>
      <c r="BW10" s="356">
        <v>43282</v>
      </c>
      <c r="BX10" s="356">
        <v>43282</v>
      </c>
      <c r="BY10" s="360" t="s">
        <v>26</v>
      </c>
      <c r="BZ10" s="358" t="s">
        <v>2</v>
      </c>
      <c r="CA10" s="448">
        <v>32.130000000000003</v>
      </c>
      <c r="CB10" s="448">
        <v>30.11</v>
      </c>
      <c r="CC10" s="448">
        <v>24.11</v>
      </c>
      <c r="CD10" s="359">
        <v>1</v>
      </c>
      <c r="CE10" s="226"/>
      <c r="CF10" s="313" t="str">
        <f t="shared" si="13"/>
        <v>121</v>
      </c>
      <c r="CG10" s="356">
        <v>43282</v>
      </c>
      <c r="CH10" s="356">
        <v>43282</v>
      </c>
      <c r="CI10" s="370" t="s">
        <v>15</v>
      </c>
      <c r="CJ10" s="370"/>
      <c r="CK10" s="371">
        <v>2</v>
      </c>
      <c r="CL10" s="371">
        <v>1</v>
      </c>
      <c r="CM10" s="370">
        <v>1</v>
      </c>
      <c r="CN10" s="494">
        <f>'FPS Pivot Table'!D20</f>
        <v>33.090000000000003</v>
      </c>
      <c r="CO10" s="158"/>
      <c r="CP10" s="313" t="str">
        <f t="shared" si="14"/>
        <v>121</v>
      </c>
      <c r="CQ10" s="356">
        <v>43282</v>
      </c>
      <c r="CR10" s="356">
        <v>43282</v>
      </c>
      <c r="CS10" s="370" t="s">
        <v>15</v>
      </c>
      <c r="CT10" s="370"/>
      <c r="CU10" s="371">
        <v>2</v>
      </c>
      <c r="CV10" s="371">
        <v>1</v>
      </c>
      <c r="CW10" s="370">
        <v>1</v>
      </c>
      <c r="CX10" s="494">
        <f>'FPS Pivot Table'!E20</f>
        <v>34.409999999999997</v>
      </c>
      <c r="CY10" s="661">
        <f t="shared" si="15"/>
        <v>35.79</v>
      </c>
      <c r="CZ10" s="158"/>
      <c r="DA10" s="313" t="str">
        <f t="shared" si="9"/>
        <v>121</v>
      </c>
      <c r="DB10" s="356">
        <v>43282</v>
      </c>
      <c r="DC10" s="356">
        <v>43282</v>
      </c>
      <c r="DD10" s="371" t="s">
        <v>375</v>
      </c>
      <c r="DE10" s="377"/>
      <c r="DF10" s="377">
        <v>2</v>
      </c>
      <c r="DG10" s="377">
        <v>1</v>
      </c>
      <c r="DH10" s="377">
        <v>1</v>
      </c>
      <c r="DI10" s="494">
        <f>'FPS Pivot Table'!F20</f>
        <v>48.54</v>
      </c>
      <c r="DJ10" s="244"/>
      <c r="DK10" s="313" t="str">
        <f t="shared" si="10"/>
        <v>121</v>
      </c>
      <c r="DL10" s="356">
        <v>43282</v>
      </c>
      <c r="DM10" s="356">
        <v>43282</v>
      </c>
      <c r="DN10" s="371" t="s">
        <v>375</v>
      </c>
      <c r="DO10" s="377"/>
      <c r="DP10" s="377">
        <v>2</v>
      </c>
      <c r="DQ10" s="377">
        <v>1</v>
      </c>
      <c r="DR10" s="377">
        <v>1</v>
      </c>
      <c r="DS10" s="494">
        <f>'FPS Pivot Table'!G20</f>
        <v>50.48</v>
      </c>
      <c r="DT10" s="661">
        <f t="shared" si="16"/>
        <v>52.5</v>
      </c>
      <c r="DU10" s="244"/>
      <c r="DV10" s="244"/>
      <c r="DW10" s="243" t="s">
        <v>153</v>
      </c>
      <c r="DX10" s="243" t="s">
        <v>152</v>
      </c>
      <c r="DY10" s="244"/>
      <c r="DZ10" s="228" t="str">
        <f t="shared" si="11"/>
        <v>Baltimore CitySupported Employment</v>
      </c>
      <c r="EA10" s="516" t="s">
        <v>158</v>
      </c>
      <c r="EB10" s="463" t="s">
        <v>152</v>
      </c>
      <c r="EC10" s="229">
        <v>22.11</v>
      </c>
      <c r="ED10" s="462">
        <v>27.03</v>
      </c>
      <c r="EE10" s="536">
        <f>'FY24_PCI2_Rates.locked v3'!$Q$15</f>
        <v>30.36</v>
      </c>
      <c r="EF10" s="661">
        <f t="shared" si="17"/>
        <v>31.57</v>
      </c>
      <c r="EG10" s="536"/>
      <c r="EH10" s="228" t="str">
        <f t="shared" si="12"/>
        <v>Baltimore CityResidential</v>
      </c>
      <c r="EI10" s="228" t="s">
        <v>158</v>
      </c>
      <c r="EJ10" s="168" t="s">
        <v>376</v>
      </c>
      <c r="EK10" s="229">
        <v>19.78</v>
      </c>
      <c r="EL10" s="466">
        <v>24.18</v>
      </c>
      <c r="EM10" s="539">
        <f>'FY24_PCI2_Rates.locked v3'!$Q$22</f>
        <v>27.15</v>
      </c>
      <c r="EN10" s="661">
        <f t="shared" si="18"/>
        <v>28.24</v>
      </c>
      <c r="EO10" s="244"/>
      <c r="EP10" s="230" t="str">
        <f>IF(EQ10="","",MAX(EP$2:EP9)+1)</f>
        <v/>
      </c>
      <c r="EQ10" s="231" t="str">
        <f>IF(ER10&lt;&gt;0,ER10,"")</f>
        <v/>
      </c>
      <c r="ER10" s="150" t="str">
        <f>IF(AND(Budget!$E$12="Self-Direction",Budget!$A$12="Community Supports Waiver"),Budget!EV10,IF(AND(Budget!$E$12="Traditional",Budget!$A$12="Community Supports Waiver"),Budget!EW10,IF(AND(Budget!$E$12="Self-Direction",Budget!$A$12="Family Supports Waiver"),Budget!EZ10,IF(AND(Budget!$E$12="Traditional",Budget!$A$12="Family Supports Waiver"),Budget!FA10,IF(AND(Budget!$E$12="Traditional",Budget!$A$12="Community Pathways Waiver"),Budget!EY10,IF(AND(Budget!$E$12="Self-Direction",Budget!$A$12="Community Pathways Waiver"),Budget!EX10,""))))))</f>
        <v/>
      </c>
      <c r="ES10" s="232" t="str">
        <f t="shared" si="1"/>
        <v/>
      </c>
      <c r="ET10" s="244"/>
      <c r="EU10" s="244"/>
      <c r="EV10" s="237" t="s">
        <v>76</v>
      </c>
      <c r="EW10" s="237" t="s">
        <v>76</v>
      </c>
      <c r="EX10" s="27" t="s">
        <v>76</v>
      </c>
      <c r="EY10" s="27" t="s">
        <v>76</v>
      </c>
      <c r="EZ10" s="27" t="s">
        <v>76</v>
      </c>
      <c r="FA10" s="27" t="s">
        <v>76</v>
      </c>
      <c r="FB10" s="77"/>
      <c r="FC10" s="230" t="str">
        <f>IF(FD10="","",MAX(FC$2:FC9)+1)</f>
        <v/>
      </c>
      <c r="FD10" s="231" t="str">
        <f t="shared" si="3"/>
        <v/>
      </c>
      <c r="FE10" s="231">
        <f>IF(AND(Budget!$E$12="Self-Direction",Budget!$A$12="Community Supports Waiver"),Budget!FI10,IF(AND(Budget!$E$12="Traditional",Budget!$A$12="Community Supports Waiver"),Budget!FL10,IF(AND(Budget!$E$12="Self-Direction",Budget!$A$12="Community Pathways Waiver"),Budget!FJ10,IF(AND(Budget!$E$12="Traditional",Budget!$A$12="Community Pathways Waiver"),FK10,))))</f>
        <v>0</v>
      </c>
      <c r="FF10" s="232" t="str">
        <f t="shared" si="4"/>
        <v/>
      </c>
      <c r="FG10" s="244"/>
      <c r="FH10" s="244"/>
      <c r="FI10" s="237"/>
      <c r="FJ10" s="27"/>
      <c r="FK10" s="27"/>
      <c r="FL10" s="27"/>
      <c r="FM10" s="77"/>
      <c r="FN10" s="230" t="str">
        <f>IF(FO10="","",MAX(FN$2:FN9)+1)</f>
        <v/>
      </c>
      <c r="FO10" s="231" t="str">
        <f t="shared" si="2"/>
        <v/>
      </c>
      <c r="FP10" s="43">
        <f>IF(AND(Budget!$E$12="Self-Direction",Budget!$A$12="Community Supports Waiver"),Budget!FU10,IF(AND(Budget!$E$12="Traditional",Budget!$A$12="Community Supports Waiver"),Budget!FU10,IF(AND(Budget!$E$12="Self-Direction",Budget!$A$12="Community Pathways Waiver"),Budget!FU10,IF(AND(Budget!$E$12="Traditional",Budget!$A$12="Community Pathways Waiver"),FU10,))))</f>
        <v>0</v>
      </c>
      <c r="FQ10" s="232" t="str">
        <f t="shared" si="5"/>
        <v/>
      </c>
      <c r="FR10" s="244"/>
      <c r="FS10" s="244"/>
      <c r="FT10" s="27"/>
      <c r="FU10" s="27"/>
      <c r="FV10" s="77"/>
      <c r="FW10" s="77"/>
      <c r="FX10" s="77"/>
    </row>
    <row r="11" spans="1:180" ht="14.4" customHeight="1" thickBot="1">
      <c r="A11" s="469">
        <f>DATE((YEAR(E9)+1),MONTH(E9),DAY(E9))</f>
        <v>366</v>
      </c>
      <c r="D11" s="26" t="s">
        <v>743</v>
      </c>
      <c r="E11" s="675"/>
      <c r="F11" s="458"/>
      <c r="G11" s="459"/>
      <c r="I11" s="205"/>
      <c r="J11" s="460"/>
      <c r="K11" s="75"/>
      <c r="L11" s="461"/>
      <c r="M11" s="454" t="s">
        <v>487</v>
      </c>
      <c r="N11" s="77"/>
      <c r="O11" s="32"/>
      <c r="P11" s="32"/>
      <c r="Q11" s="32"/>
      <c r="R11" s="32"/>
      <c r="S11" s="32"/>
      <c r="T11" s="32"/>
      <c r="U11" s="32"/>
      <c r="V11" s="32"/>
      <c r="W11" s="32"/>
      <c r="X11" s="32"/>
      <c r="Y11" s="32"/>
      <c r="Z11" s="32"/>
      <c r="AA11" s="32"/>
      <c r="AB11" s="32"/>
      <c r="AC11" s="32"/>
      <c r="AD11" s="32"/>
      <c r="AP11" s="244"/>
      <c r="AQ11" s="318" t="s">
        <v>3</v>
      </c>
      <c r="AR11" s="244"/>
      <c r="AS11" s="587" t="s">
        <v>4</v>
      </c>
      <c r="AT11" s="244"/>
      <c r="AU11" s="244"/>
      <c r="AV11" s="596" t="s">
        <v>163</v>
      </c>
      <c r="AW11" s="315">
        <v>1</v>
      </c>
      <c r="AX11" s="316">
        <v>6</v>
      </c>
      <c r="AY11" s="225" t="s">
        <v>0</v>
      </c>
      <c r="AZ11" s="244"/>
      <c r="BA11" s="244"/>
      <c r="BB11" s="317" t="str">
        <f t="shared" si="6"/>
        <v>127</v>
      </c>
      <c r="BC11" s="226" t="s">
        <v>13</v>
      </c>
      <c r="BD11" s="226" t="s">
        <v>14</v>
      </c>
      <c r="BE11" s="226" t="s">
        <v>26</v>
      </c>
      <c r="BF11" s="226" t="s">
        <v>30</v>
      </c>
      <c r="BG11" s="155">
        <v>25.22</v>
      </c>
      <c r="BH11" s="155">
        <v>23.63</v>
      </c>
      <c r="BI11" s="155">
        <v>18.93</v>
      </c>
      <c r="BJ11" s="227" t="s">
        <v>16</v>
      </c>
      <c r="BK11" s="226"/>
      <c r="BL11" s="317" t="str">
        <f t="shared" si="7"/>
        <v>120-22</v>
      </c>
      <c r="BM11" s="356">
        <v>43282</v>
      </c>
      <c r="BN11" s="356">
        <v>43282</v>
      </c>
      <c r="BO11" s="360" t="s">
        <v>26</v>
      </c>
      <c r="BP11" s="358" t="s">
        <v>1</v>
      </c>
      <c r="BQ11" s="400">
        <v>30.73</v>
      </c>
      <c r="BR11" s="400">
        <v>28.81</v>
      </c>
      <c r="BS11" s="400">
        <v>23.08</v>
      </c>
      <c r="BT11" s="359">
        <v>1</v>
      </c>
      <c r="BU11" s="42"/>
      <c r="BV11" s="317" t="str">
        <f t="shared" si="8"/>
        <v>120-22</v>
      </c>
      <c r="BW11" s="356">
        <v>43282</v>
      </c>
      <c r="BX11" s="356">
        <v>43282</v>
      </c>
      <c r="BY11" s="360" t="s">
        <v>26</v>
      </c>
      <c r="BZ11" s="358" t="s">
        <v>1</v>
      </c>
      <c r="CA11" s="448">
        <v>33.24</v>
      </c>
      <c r="CB11" s="448">
        <v>31.16</v>
      </c>
      <c r="CC11" s="448">
        <v>24.96</v>
      </c>
      <c r="CD11" s="359">
        <v>1</v>
      </c>
      <c r="CE11" s="226"/>
      <c r="CF11" s="313" t="str">
        <f t="shared" si="13"/>
        <v>122</v>
      </c>
      <c r="CG11" s="356">
        <v>43282</v>
      </c>
      <c r="CH11" s="356">
        <v>43282</v>
      </c>
      <c r="CI11" s="370" t="s">
        <v>15</v>
      </c>
      <c r="CJ11" s="370"/>
      <c r="CK11" s="371">
        <v>2</v>
      </c>
      <c r="CL11" s="371">
        <v>2</v>
      </c>
      <c r="CM11" s="370">
        <v>1</v>
      </c>
      <c r="CN11" s="494">
        <f>'FPS Pivot Table'!D21</f>
        <v>35.950000000000003</v>
      </c>
      <c r="CO11" s="158"/>
      <c r="CP11" s="313" t="str">
        <f t="shared" si="14"/>
        <v>122</v>
      </c>
      <c r="CQ11" s="356">
        <v>43282</v>
      </c>
      <c r="CR11" s="356">
        <v>43282</v>
      </c>
      <c r="CS11" s="370" t="s">
        <v>15</v>
      </c>
      <c r="CT11" s="370"/>
      <c r="CU11" s="371">
        <v>2</v>
      </c>
      <c r="CV11" s="371">
        <v>2</v>
      </c>
      <c r="CW11" s="370">
        <v>1</v>
      </c>
      <c r="CX11" s="494">
        <f>'FPS Pivot Table'!E21</f>
        <v>37.39</v>
      </c>
      <c r="CY11" s="661">
        <f t="shared" si="15"/>
        <v>38.89</v>
      </c>
      <c r="CZ11" s="158"/>
      <c r="DA11" s="313" t="str">
        <f t="shared" si="9"/>
        <v>122</v>
      </c>
      <c r="DB11" s="356">
        <v>43282</v>
      </c>
      <c r="DC11" s="356">
        <v>43282</v>
      </c>
      <c r="DD11" s="371" t="s">
        <v>375</v>
      </c>
      <c r="DE11" s="377"/>
      <c r="DF11" s="377">
        <v>2</v>
      </c>
      <c r="DG11" s="377">
        <v>2</v>
      </c>
      <c r="DH11" s="377">
        <v>1</v>
      </c>
      <c r="DI11" s="494">
        <f>'FPS Pivot Table'!F21</f>
        <v>51.08</v>
      </c>
      <c r="DJ11" s="244"/>
      <c r="DK11" s="313" t="str">
        <f t="shared" si="10"/>
        <v>122</v>
      </c>
      <c r="DL11" s="356">
        <v>43282</v>
      </c>
      <c r="DM11" s="356">
        <v>43282</v>
      </c>
      <c r="DN11" s="371" t="s">
        <v>375</v>
      </c>
      <c r="DO11" s="377"/>
      <c r="DP11" s="377">
        <v>2</v>
      </c>
      <c r="DQ11" s="377">
        <v>2</v>
      </c>
      <c r="DR11" s="377">
        <v>1</v>
      </c>
      <c r="DS11" s="494">
        <f>'FPS Pivot Table'!G21</f>
        <v>53.12</v>
      </c>
      <c r="DT11" s="661">
        <f t="shared" si="16"/>
        <v>55.24</v>
      </c>
      <c r="DU11" s="244"/>
      <c r="DV11" s="244"/>
      <c r="DW11" s="246" t="s">
        <v>152</v>
      </c>
      <c r="DX11" s="246" t="s">
        <v>152</v>
      </c>
      <c r="DY11" s="244"/>
      <c r="DZ11" s="228" t="str">
        <f t="shared" si="11"/>
        <v>Baltimore CountyDay</v>
      </c>
      <c r="EA11" s="516" t="s">
        <v>159</v>
      </c>
      <c r="EB11" s="463" t="s">
        <v>134</v>
      </c>
      <c r="EC11" s="229">
        <v>22.11</v>
      </c>
      <c r="ED11" s="462">
        <v>27.03</v>
      </c>
      <c r="EE11" s="536">
        <f>'FY24_PCI2_Rates.locked v3'!$Q$15</f>
        <v>30.36</v>
      </c>
      <c r="EF11" s="661">
        <f t="shared" si="17"/>
        <v>31.57</v>
      </c>
      <c r="EG11" s="536"/>
      <c r="EH11" s="228" t="str">
        <f t="shared" si="12"/>
        <v>Baltimore CountyResidential</v>
      </c>
      <c r="EI11" s="228" t="s">
        <v>159</v>
      </c>
      <c r="EJ11" s="168" t="s">
        <v>376</v>
      </c>
      <c r="EK11" s="229">
        <v>19.78</v>
      </c>
      <c r="EL11" s="466">
        <v>24.18</v>
      </c>
      <c r="EM11" s="539">
        <f>'FY24_PCI2_Rates.locked v3'!$Q$22</f>
        <v>27.15</v>
      </c>
      <c r="EN11" s="661">
        <f t="shared" si="18"/>
        <v>28.24</v>
      </c>
      <c r="EO11" s="244"/>
      <c r="EP11" s="230" t="str">
        <f>IF(EQ11="","",MAX(EP$2:EP10)+1)</f>
        <v/>
      </c>
      <c r="EQ11" s="231" t="str">
        <f>IF(ER11&lt;&gt;0,ER11,"")</f>
        <v/>
      </c>
      <c r="ER11" s="150" t="str">
        <f>IF(AND(Budget!$E$12="Self-Direction",Budget!$A$12="Community Supports Waiver"),Budget!EV11,IF(AND(Budget!$E$12="Traditional",Budget!$A$12="Community Supports Waiver"),Budget!EW11,IF(AND(Budget!$E$12="Self-Direction",Budget!$A$12="Family Supports Waiver"),Budget!EZ11,IF(AND(Budget!$E$12="Traditional",Budget!$A$12="Family Supports Waiver"),Budget!FA11,IF(AND(Budget!$E$12="Traditional",Budget!$A$12="Community Pathways Waiver"),Budget!EY11,IF(AND(Budget!$E$12="Self-Direction",Budget!$A$12="Community Pathways Waiver"),Budget!EX11,""))))))</f>
        <v/>
      </c>
      <c r="ES11" s="232" t="str">
        <f t="shared" si="1"/>
        <v/>
      </c>
      <c r="ET11" s="244"/>
      <c r="EU11" s="244"/>
      <c r="EV11" s="233" t="s">
        <v>81</v>
      </c>
      <c r="EW11" s="233" t="s">
        <v>81</v>
      </c>
      <c r="EX11" s="18" t="s">
        <v>81</v>
      </c>
      <c r="EY11" s="18" t="s">
        <v>81</v>
      </c>
      <c r="EZ11" s="18" t="s">
        <v>81</v>
      </c>
      <c r="FA11" s="18" t="s">
        <v>81</v>
      </c>
      <c r="FB11" s="77"/>
      <c r="FC11" s="230" t="str">
        <f>IF(FD11="","",MAX(FC$2:FC10)+1)</f>
        <v/>
      </c>
      <c r="FD11" s="231" t="str">
        <f t="shared" si="3"/>
        <v/>
      </c>
      <c r="FE11" s="231">
        <f>IF(AND(Budget!$E$12="Self-Direction",Budget!$A$12="Community Supports Waiver"),Budget!FI11,IF(AND(Budget!$E$12="Traditional",Budget!$A$12="Community Supports Waiver"),Budget!FL11,IF(AND(Budget!$E$12="Self-Direction",Budget!$A$12="Community Pathways Waiver"),Budget!FJ11,IF(AND(Budget!$E$12="Traditional",Budget!$A$12="Community Pathways Waiver"),FK11,))))</f>
        <v>0</v>
      </c>
      <c r="FF11" s="232" t="str">
        <f t="shared" si="4"/>
        <v/>
      </c>
      <c r="FG11" s="244"/>
      <c r="FH11" s="244"/>
      <c r="FI11" s="233"/>
      <c r="FJ11" s="18"/>
      <c r="FK11" s="18"/>
      <c r="FL11" s="18"/>
      <c r="FM11" s="77"/>
      <c r="FN11" s="230" t="str">
        <f>IF(FO11="","",MAX(FN$2:FN10)+1)</f>
        <v/>
      </c>
      <c r="FO11" s="231" t="str">
        <f t="shared" si="2"/>
        <v/>
      </c>
      <c r="FP11" s="43">
        <f>IF(AND(Budget!$E$12="Self-Direction",Budget!$A$12="Community Supports Waiver"),Budget!FU11,IF(AND(Budget!$E$12="Traditional",Budget!$A$12="Community Supports Waiver"),Budget!FU11,IF(AND(Budget!$E$12="Self-Direction",Budget!$A$12="Community Pathways Waiver"),Budget!FU11,IF(AND(Budget!$E$12="Traditional",Budget!$A$12="Community Pathways Waiver"),FU11,))))</f>
        <v>0</v>
      </c>
      <c r="FQ11" s="232" t="str">
        <f t="shared" si="5"/>
        <v/>
      </c>
      <c r="FR11" s="244"/>
      <c r="FS11" s="244"/>
      <c r="FT11" s="18"/>
      <c r="FU11" s="18"/>
      <c r="FV11" s="77"/>
      <c r="FW11" s="77"/>
      <c r="FX11" s="77"/>
    </row>
    <row r="12" spans="1:180" ht="14.4" customHeight="1" thickBot="1">
      <c r="A12" s="605">
        <f>IF(E13="State Only","Community Pathways Waiver",E13)</f>
        <v>0</v>
      </c>
      <c r="D12" s="26" t="s">
        <v>31</v>
      </c>
      <c r="E12" s="25"/>
      <c r="F12" s="458"/>
      <c r="G12" s="459"/>
      <c r="N12" s="77"/>
      <c r="O12" s="32"/>
      <c r="P12" s="32"/>
      <c r="Q12" s="32"/>
      <c r="R12" s="32"/>
      <c r="S12" s="32"/>
      <c r="T12" s="32"/>
      <c r="U12" s="32"/>
      <c r="V12" s="32"/>
      <c r="W12" s="32"/>
      <c r="X12" s="32"/>
      <c r="Y12" s="32"/>
      <c r="Z12" s="32"/>
      <c r="AA12" s="32"/>
      <c r="AB12" s="32"/>
      <c r="AC12" s="32"/>
      <c r="AD12" s="32"/>
      <c r="AE12" s="603"/>
      <c r="AF12" s="627" t="str">
        <f>"7/1/"&amp;RIGHT(N5,4)</f>
        <v>7/1/2024</v>
      </c>
      <c r="AG12" s="627" t="str">
        <f>"7/1/"&amp;RIGHT(O5,4)</f>
        <v>7/1/2025</v>
      </c>
      <c r="AH12" s="627">
        <v>45108</v>
      </c>
      <c r="AP12" s="319" t="s">
        <v>149</v>
      </c>
      <c r="AQ12" s="318" t="str">
        <f>IF(ISERROR((VLOOKUP(Budget!AQ14,Budget!$AX$5:$AY$173,2,FALSE))),"",(VLOOKUP(Budget!AQ14,Budget!$AX$5:$AY$173,2,FALSE)))</f>
        <v>0</v>
      </c>
      <c r="AR12" s="244"/>
      <c r="AS12" s="244"/>
      <c r="AT12" s="244"/>
      <c r="AU12" s="244"/>
      <c r="AV12" s="596" t="s">
        <v>180</v>
      </c>
      <c r="AW12" s="315">
        <v>5</v>
      </c>
      <c r="AX12" s="316">
        <v>7</v>
      </c>
      <c r="AY12" s="225" t="s">
        <v>0</v>
      </c>
      <c r="AZ12" s="244"/>
      <c r="BA12" s="244"/>
      <c r="BB12" s="317" t="str">
        <f t="shared" si="6"/>
        <v>128-82</v>
      </c>
      <c r="BC12" s="226" t="s">
        <v>13</v>
      </c>
      <c r="BD12" s="226" t="s">
        <v>14</v>
      </c>
      <c r="BE12" s="226" t="s">
        <v>26</v>
      </c>
      <c r="BF12" s="226" t="s">
        <v>3</v>
      </c>
      <c r="BG12" s="155">
        <v>24.85</v>
      </c>
      <c r="BH12" s="155">
        <v>23.29</v>
      </c>
      <c r="BI12" s="155">
        <v>18.670000000000002</v>
      </c>
      <c r="BJ12" s="227" t="s">
        <v>16</v>
      </c>
      <c r="BK12" s="226"/>
      <c r="BL12" s="317" t="str">
        <f t="shared" si="7"/>
        <v>11-19</v>
      </c>
      <c r="BM12" s="356">
        <v>43282</v>
      </c>
      <c r="BN12" s="356">
        <v>43282</v>
      </c>
      <c r="BO12" s="360" t="s">
        <v>26</v>
      </c>
      <c r="BP12" s="358" t="s">
        <v>0</v>
      </c>
      <c r="BQ12" s="400">
        <v>32.14</v>
      </c>
      <c r="BR12" s="400">
        <v>29.9</v>
      </c>
      <c r="BS12" s="400">
        <v>23.96</v>
      </c>
      <c r="BT12" s="359">
        <v>1</v>
      </c>
      <c r="BU12" s="42"/>
      <c r="BV12" s="317" t="str">
        <f t="shared" si="8"/>
        <v>11-19</v>
      </c>
      <c r="BW12" s="356">
        <v>43282</v>
      </c>
      <c r="BX12" s="356">
        <v>43282</v>
      </c>
      <c r="BY12" s="360" t="s">
        <v>26</v>
      </c>
      <c r="BZ12" s="358" t="s">
        <v>0</v>
      </c>
      <c r="CA12" s="448">
        <v>34.770000000000003</v>
      </c>
      <c r="CB12" s="448">
        <v>32.340000000000003</v>
      </c>
      <c r="CC12" s="448">
        <v>25.92</v>
      </c>
      <c r="CD12" s="359">
        <v>1</v>
      </c>
      <c r="CE12" s="226"/>
      <c r="CF12" s="313" t="str">
        <f t="shared" si="13"/>
        <v>123</v>
      </c>
      <c r="CG12" s="356">
        <v>43282</v>
      </c>
      <c r="CH12" s="356">
        <v>43282</v>
      </c>
      <c r="CI12" s="370" t="s">
        <v>15</v>
      </c>
      <c r="CJ12" s="370"/>
      <c r="CK12" s="371">
        <v>2</v>
      </c>
      <c r="CL12" s="371">
        <v>3</v>
      </c>
      <c r="CM12" s="370">
        <v>1</v>
      </c>
      <c r="CN12" s="494">
        <f>'FPS Pivot Table'!D22</f>
        <v>40.65</v>
      </c>
      <c r="CO12" s="158"/>
      <c r="CP12" s="313" t="str">
        <f t="shared" si="14"/>
        <v>123</v>
      </c>
      <c r="CQ12" s="356">
        <v>43282</v>
      </c>
      <c r="CR12" s="356">
        <v>43282</v>
      </c>
      <c r="CS12" s="370" t="s">
        <v>15</v>
      </c>
      <c r="CT12" s="370"/>
      <c r="CU12" s="371">
        <v>2</v>
      </c>
      <c r="CV12" s="371">
        <v>3</v>
      </c>
      <c r="CW12" s="370">
        <v>1</v>
      </c>
      <c r="CX12" s="494">
        <f>'FPS Pivot Table'!E22</f>
        <v>42.28</v>
      </c>
      <c r="CY12" s="661">
        <f t="shared" si="15"/>
        <v>43.97</v>
      </c>
      <c r="CZ12" s="158"/>
      <c r="DA12" s="313" t="str">
        <f t="shared" si="9"/>
        <v>123</v>
      </c>
      <c r="DB12" s="356">
        <v>43282</v>
      </c>
      <c r="DC12" s="356">
        <v>43282</v>
      </c>
      <c r="DD12" s="371" t="s">
        <v>375</v>
      </c>
      <c r="DE12" s="377"/>
      <c r="DF12" s="377">
        <v>2</v>
      </c>
      <c r="DG12" s="377">
        <v>3</v>
      </c>
      <c r="DH12" s="377">
        <v>1</v>
      </c>
      <c r="DI12" s="494">
        <f>'FPS Pivot Table'!F22</f>
        <v>55.17</v>
      </c>
      <c r="DJ12" s="244"/>
      <c r="DK12" s="313" t="str">
        <f t="shared" si="10"/>
        <v>123</v>
      </c>
      <c r="DL12" s="356">
        <v>43282</v>
      </c>
      <c r="DM12" s="356">
        <v>43282</v>
      </c>
      <c r="DN12" s="371" t="s">
        <v>375</v>
      </c>
      <c r="DO12" s="377"/>
      <c r="DP12" s="377">
        <v>2</v>
      </c>
      <c r="DQ12" s="377">
        <v>3</v>
      </c>
      <c r="DR12" s="377">
        <v>1</v>
      </c>
      <c r="DS12" s="494">
        <f>'FPS Pivot Table'!G22</f>
        <v>57.38</v>
      </c>
      <c r="DT12" s="661">
        <f t="shared" si="16"/>
        <v>59.68</v>
      </c>
      <c r="DU12" s="244"/>
      <c r="DV12" s="244"/>
      <c r="DW12" s="244"/>
      <c r="DX12" s="244"/>
      <c r="DY12" s="244"/>
      <c r="DZ12" s="228" t="str">
        <f t="shared" si="11"/>
        <v>Baltimore CountySupported Employment</v>
      </c>
      <c r="EA12" s="516" t="s">
        <v>159</v>
      </c>
      <c r="EB12" s="463" t="s">
        <v>152</v>
      </c>
      <c r="EC12" s="229">
        <v>22.11</v>
      </c>
      <c r="ED12" s="462">
        <v>27.03</v>
      </c>
      <c r="EE12" s="536">
        <f>'FY24_PCI2_Rates.locked v3'!$Q$15</f>
        <v>30.36</v>
      </c>
      <c r="EF12" s="661">
        <f t="shared" si="17"/>
        <v>31.57</v>
      </c>
      <c r="EG12" s="536"/>
      <c r="EH12" s="228" t="str">
        <f t="shared" si="12"/>
        <v>Baltimore CountyResidential</v>
      </c>
      <c r="EI12" s="228" t="s">
        <v>159</v>
      </c>
      <c r="EJ12" s="168" t="s">
        <v>376</v>
      </c>
      <c r="EK12" s="229">
        <v>19.78</v>
      </c>
      <c r="EL12" s="466">
        <v>24.18</v>
      </c>
      <c r="EM12" s="539">
        <f>'FY24_PCI2_Rates.locked v3'!$Q$22</f>
        <v>27.15</v>
      </c>
      <c r="EN12" s="661">
        <f t="shared" si="18"/>
        <v>28.24</v>
      </c>
      <c r="EO12" s="244"/>
      <c r="EP12" s="230" t="str">
        <f>IF(EQ12="","",MAX(EP$2:EP11)+1)</f>
        <v/>
      </c>
      <c r="EQ12" s="231" t="str">
        <f>IF(ER12&lt;&gt;0,ER12,"")</f>
        <v/>
      </c>
      <c r="ER12" s="150" t="str">
        <f>IF(AND(Budget!$E$12="Self-Direction",Budget!$A$12="Community Supports Waiver"),Budget!EV12,IF(AND(Budget!$E$12="Traditional",Budget!$A$12="Community Supports Waiver"),Budget!EW12,IF(AND(Budget!$E$12="Self-Direction",Budget!$A$12="Family Supports Waiver"),Budget!EZ12,IF(AND(Budget!$E$12="Traditional",Budget!$A$12="Family Supports Waiver"),Budget!FA12,IF(AND(Budget!$E$12="Traditional",Budget!$A$12="Community Pathways Waiver"),Budget!EY12,IF(AND(Budget!$E$12="Self-Direction",Budget!$A$12="Community Pathways Waiver"),Budget!EX12,""))))))</f>
        <v/>
      </c>
      <c r="ES12" s="232" t="str">
        <f t="shared" si="1"/>
        <v/>
      </c>
      <c r="ET12" s="244"/>
      <c r="EU12" s="244"/>
      <c r="EV12" s="237" t="s">
        <v>86</v>
      </c>
      <c r="EW12" s="237" t="s">
        <v>86</v>
      </c>
      <c r="EX12" s="27" t="s">
        <v>86</v>
      </c>
      <c r="EY12" s="27" t="s">
        <v>86</v>
      </c>
      <c r="EZ12" s="27" t="s">
        <v>86</v>
      </c>
      <c r="FA12" s="27" t="s">
        <v>86</v>
      </c>
      <c r="FB12" s="77"/>
      <c r="FC12" s="230" t="str">
        <f>IF(FD12="","",MAX(FC$2:FC11)+1)</f>
        <v/>
      </c>
      <c r="FD12" s="231" t="str">
        <f t="shared" si="3"/>
        <v/>
      </c>
      <c r="FE12" s="231">
        <f>IF(AND(Budget!$E$12="Self-Direction",Budget!$A$12="Community Supports Waiver"),Budget!FI12,IF(AND(Budget!$E$12="Traditional",Budget!$A$12="Community Supports Waiver"),Budget!FL12,IF(AND(Budget!$E$12="Self-Direction",Budget!$A$12="Community Pathways Waiver"),Budget!FJ12,IF(AND(Budget!$E$12="Traditional",Budget!$A$12="Community Pathways Waiver"),FK12,))))</f>
        <v>0</v>
      </c>
      <c r="FF12" s="232" t="str">
        <f t="shared" si="4"/>
        <v/>
      </c>
      <c r="FG12" s="244"/>
      <c r="FH12" s="244"/>
      <c r="FI12" s="237"/>
      <c r="FJ12" s="27"/>
      <c r="FK12" s="27"/>
      <c r="FL12" s="27"/>
      <c r="FM12" s="77"/>
      <c r="FN12" s="230" t="str">
        <f>IF(FO12="","",MAX(FN$2:FN11)+1)</f>
        <v/>
      </c>
      <c r="FO12" s="231" t="str">
        <f t="shared" si="2"/>
        <v/>
      </c>
      <c r="FP12" s="43">
        <f>IF(AND(Budget!$E$12="Self-Direction",Budget!$A$12="Community Supports Waiver"),Budget!FU12,IF(AND(Budget!$E$12="Traditional",Budget!$A$12="Community Supports Waiver"),Budget!FU12,IF(AND(Budget!$E$12="Self-Direction",Budget!$A$12="Community Pathways Waiver"),Budget!FU12,IF(AND(Budget!$E$12="Traditional",Budget!$A$12="Community Pathways Waiver"),FU12,))))</f>
        <v>0</v>
      </c>
      <c r="FQ12" s="232" t="str">
        <f t="shared" si="5"/>
        <v/>
      </c>
      <c r="FR12" s="244"/>
      <c r="FS12" s="244"/>
      <c r="FT12" s="27"/>
      <c r="FU12" s="27"/>
      <c r="FV12" s="77"/>
      <c r="FW12" s="77"/>
      <c r="FX12" s="77"/>
    </row>
    <row r="13" spans="1:180" ht="14.4" customHeight="1" thickBot="1">
      <c r="A13" s="637">
        <v>45473</v>
      </c>
      <c r="D13" s="40" t="s">
        <v>422</v>
      </c>
      <c r="E13" s="25"/>
      <c r="F13" s="458"/>
      <c r="G13" s="459"/>
      <c r="N13" s="77"/>
      <c r="O13" s="77"/>
      <c r="P13" s="32"/>
      <c r="Q13" s="32"/>
      <c r="R13" s="32"/>
      <c r="S13" s="32"/>
      <c r="T13" s="32"/>
      <c r="U13" s="32"/>
      <c r="V13" s="32"/>
      <c r="W13" s="32"/>
      <c r="X13" s="32"/>
      <c r="Y13" s="32"/>
      <c r="Z13" s="32"/>
      <c r="AA13" s="32"/>
      <c r="AB13" s="32"/>
      <c r="AC13" s="32"/>
      <c r="AD13" s="32"/>
      <c r="AE13" s="470"/>
      <c r="AF13" s="627" t="str">
        <f>IF(AND($E$9&gt;=$AF$12,$E$9&lt;$AG$12),O5&amp;" Start",N5&amp;" Start")</f>
        <v>FY 2024 Start</v>
      </c>
      <c r="AG13" s="627" t="str">
        <f>IF(AND($A$9&gt;$AF$12,$A$9&lt;=$AG$12),O5&amp;" End",N5&amp;" End")</f>
        <v>FY 2024 End</v>
      </c>
      <c r="AH13" s="205" t="s">
        <v>767</v>
      </c>
      <c r="AP13" s="320" t="s">
        <v>147</v>
      </c>
      <c r="AQ13" s="318" t="str">
        <f>IF(ISERROR(VLOOKUP(Budget!E14,Budget!$AV$5:$AW$28,2,FALSE)),"",VLOOKUP(Budget!E14,Budget!$AV$5:$AW$28,2,FALSE))</f>
        <v/>
      </c>
      <c r="AR13" s="244"/>
      <c r="AS13" s="244"/>
      <c r="AT13" s="244"/>
      <c r="AU13" s="244"/>
      <c r="AV13" s="596" t="s">
        <v>169</v>
      </c>
      <c r="AW13" s="315">
        <v>2</v>
      </c>
      <c r="AX13" s="316">
        <v>8</v>
      </c>
      <c r="AY13" s="225" t="s">
        <v>0</v>
      </c>
      <c r="AZ13" s="244"/>
      <c r="BA13" s="244"/>
      <c r="BB13" s="317" t="str">
        <f t="shared" si="6"/>
        <v>183-168</v>
      </c>
      <c r="BC13" s="226" t="s">
        <v>13</v>
      </c>
      <c r="BD13" s="226" t="s">
        <v>14</v>
      </c>
      <c r="BE13" s="226" t="s">
        <v>26</v>
      </c>
      <c r="BF13" s="226" t="s">
        <v>4</v>
      </c>
      <c r="BG13" s="155">
        <v>18.670000000000002</v>
      </c>
      <c r="BH13" s="155">
        <v>18.670000000000002</v>
      </c>
      <c r="BI13" s="155">
        <v>18.670000000000002</v>
      </c>
      <c r="BJ13" s="227" t="s">
        <v>16</v>
      </c>
      <c r="BK13" s="226"/>
      <c r="BL13" s="317" t="str">
        <f t="shared" si="7"/>
        <v>10</v>
      </c>
      <c r="BM13" s="356">
        <v>43282</v>
      </c>
      <c r="BN13" s="356">
        <v>43282</v>
      </c>
      <c r="BO13" s="360" t="s">
        <v>26</v>
      </c>
      <c r="BP13" s="358" t="s">
        <v>27</v>
      </c>
      <c r="BQ13" s="360">
        <v>0</v>
      </c>
      <c r="BR13" s="360">
        <v>0</v>
      </c>
      <c r="BS13" s="360">
        <v>0</v>
      </c>
      <c r="BT13" s="359">
        <v>1</v>
      </c>
      <c r="BU13" s="42"/>
      <c r="BV13" s="317" t="str">
        <f t="shared" si="8"/>
        <v>10</v>
      </c>
      <c r="BW13" s="356">
        <v>43282</v>
      </c>
      <c r="BX13" s="356">
        <v>43282</v>
      </c>
      <c r="BY13" s="360" t="s">
        <v>26</v>
      </c>
      <c r="BZ13" s="358" t="s">
        <v>27</v>
      </c>
      <c r="CA13" s="360">
        <v>0</v>
      </c>
      <c r="CB13" s="360">
        <v>0</v>
      </c>
      <c r="CC13" s="360">
        <v>0</v>
      </c>
      <c r="CD13" s="359">
        <v>1</v>
      </c>
      <c r="CE13" s="226"/>
      <c r="CF13" s="313" t="str">
        <f t="shared" si="13"/>
        <v>124</v>
      </c>
      <c r="CG13" s="356">
        <v>43282</v>
      </c>
      <c r="CH13" s="356">
        <v>43282</v>
      </c>
      <c r="CI13" s="370" t="s">
        <v>15</v>
      </c>
      <c r="CJ13" s="370"/>
      <c r="CK13" s="371">
        <v>2</v>
      </c>
      <c r="CL13" s="371">
        <v>4</v>
      </c>
      <c r="CM13" s="370">
        <v>1</v>
      </c>
      <c r="CN13" s="494">
        <f>'FPS Pivot Table'!D23</f>
        <v>46.9</v>
      </c>
      <c r="CO13" s="158"/>
      <c r="CP13" s="313" t="str">
        <f t="shared" si="14"/>
        <v>124</v>
      </c>
      <c r="CQ13" s="356">
        <v>43282</v>
      </c>
      <c r="CR13" s="356">
        <v>43282</v>
      </c>
      <c r="CS13" s="370" t="s">
        <v>15</v>
      </c>
      <c r="CT13" s="370"/>
      <c r="CU13" s="371">
        <v>2</v>
      </c>
      <c r="CV13" s="371">
        <v>4</v>
      </c>
      <c r="CW13" s="370">
        <v>1</v>
      </c>
      <c r="CX13" s="494">
        <f>'FPS Pivot Table'!E23</f>
        <v>48.78</v>
      </c>
      <c r="CY13" s="661">
        <f t="shared" si="15"/>
        <v>50.73</v>
      </c>
      <c r="CZ13" s="158"/>
      <c r="DA13" s="313" t="str">
        <f t="shared" si="9"/>
        <v>124</v>
      </c>
      <c r="DB13" s="356">
        <v>43282</v>
      </c>
      <c r="DC13" s="356">
        <v>43282</v>
      </c>
      <c r="DD13" s="371" t="s">
        <v>375</v>
      </c>
      <c r="DE13" s="371"/>
      <c r="DF13" s="371">
        <v>2</v>
      </c>
      <c r="DG13" s="371">
        <v>4</v>
      </c>
      <c r="DH13" s="371">
        <v>1</v>
      </c>
      <c r="DI13" s="494">
        <f>'FPS Pivot Table'!F23</f>
        <v>60.72</v>
      </c>
      <c r="DJ13" s="244"/>
      <c r="DK13" s="313" t="str">
        <f t="shared" si="10"/>
        <v>124</v>
      </c>
      <c r="DL13" s="356">
        <v>43282</v>
      </c>
      <c r="DM13" s="356">
        <v>43282</v>
      </c>
      <c r="DN13" s="371" t="s">
        <v>375</v>
      </c>
      <c r="DO13" s="371"/>
      <c r="DP13" s="371">
        <v>2</v>
      </c>
      <c r="DQ13" s="371">
        <v>4</v>
      </c>
      <c r="DR13" s="371">
        <v>1</v>
      </c>
      <c r="DS13" s="494">
        <f>'FPS Pivot Table'!G23</f>
        <v>63.15</v>
      </c>
      <c r="DT13" s="661">
        <f t="shared" si="16"/>
        <v>65.680000000000007</v>
      </c>
      <c r="DU13" s="244"/>
      <c r="DV13" s="244"/>
      <c r="DW13" s="508" t="s">
        <v>701</v>
      </c>
      <c r="DX13" s="244"/>
      <c r="DY13" s="244"/>
      <c r="DZ13" s="228" t="str">
        <f t="shared" si="11"/>
        <v>CalvertDay</v>
      </c>
      <c r="EA13" s="517" t="s">
        <v>165</v>
      </c>
      <c r="EB13" s="463" t="s">
        <v>134</v>
      </c>
      <c r="EC13" s="229">
        <v>23.43</v>
      </c>
      <c r="ED13" s="462">
        <v>28.64</v>
      </c>
      <c r="EE13" s="536">
        <f>'FY24_PCI2_Rates.locked v3'!$Q$16</f>
        <v>32.17</v>
      </c>
      <c r="EF13" s="661">
        <f t="shared" si="17"/>
        <v>33.46</v>
      </c>
      <c r="EG13" s="536"/>
      <c r="EH13" s="228" t="str">
        <f t="shared" si="12"/>
        <v>CalvertResidential</v>
      </c>
      <c r="EI13" s="228" t="s">
        <v>165</v>
      </c>
      <c r="EJ13" s="168" t="s">
        <v>376</v>
      </c>
      <c r="EK13" s="229">
        <v>21.09</v>
      </c>
      <c r="EL13" s="466">
        <v>25.78</v>
      </c>
      <c r="EM13" s="539">
        <f>'FY24_PCI2_Rates.locked v3'!$Q$23</f>
        <v>28.94</v>
      </c>
      <c r="EN13" s="661">
        <f t="shared" si="18"/>
        <v>30.1</v>
      </c>
      <c r="EO13" s="244" t="s">
        <v>487</v>
      </c>
      <c r="EP13" s="230" t="str">
        <f>IF(EQ13="","",MAX(EP$2:EP12)+1)</f>
        <v/>
      </c>
      <c r="EQ13" s="231" t="str">
        <f>IF(ER13&lt;&gt;0,ER13,"")</f>
        <v/>
      </c>
      <c r="ER13" s="150" t="str">
        <f>IF(AND(Budget!$E$12="Self-Direction",Budget!$A$12="Community Supports Waiver"),Budget!EV13,IF(AND(Budget!$E$12="Traditional",Budget!$A$12="Community Supports Waiver"),Budget!EW13,IF(AND(Budget!$E$12="Self-Direction",Budget!$A$12="Family Supports Waiver"),Budget!EZ13,IF(AND(Budget!$E$12="Traditional",Budget!$A$12="Family Supports Waiver"),Budget!FA13,IF(AND(Budget!$E$12="Traditional",Budget!$A$12="Community Pathways Waiver"),Budget!EY13,IF(AND(Budget!$E$12="Self-Direction",Budget!$A$12="Community Pathways Waiver"),Budget!EX13,""))))))</f>
        <v/>
      </c>
      <c r="ES13" s="232" t="str">
        <f t="shared" si="1"/>
        <v/>
      </c>
      <c r="ET13" s="244"/>
      <c r="EU13" s="244"/>
      <c r="EV13" s="233" t="s">
        <v>493</v>
      </c>
      <c r="EW13" s="233" t="s">
        <v>509</v>
      </c>
      <c r="EX13" s="18" t="s">
        <v>493</v>
      </c>
      <c r="EY13" s="27" t="s">
        <v>407</v>
      </c>
      <c r="EZ13" s="27" t="s">
        <v>493</v>
      </c>
      <c r="FA13" s="18" t="s">
        <v>509</v>
      </c>
      <c r="FB13" s="77"/>
      <c r="FC13" s="230" t="str">
        <f>IF(FD13="","",MAX(FC$2:FC12)+1)</f>
        <v/>
      </c>
      <c r="FD13" s="231" t="str">
        <f t="shared" si="3"/>
        <v/>
      </c>
      <c r="FE13" s="231">
        <f>IF(AND(Budget!$E$12="Self-Direction",Budget!$A$12="Community Supports Waiver"),Budget!FI13,IF(AND(Budget!$E$12="Traditional",Budget!$A$12="Community Supports Waiver"),Budget!FL13,IF(AND(Budget!$E$12="Self-Direction",Budget!$A$12="Community Pathways Waiver"),Budget!FJ13,IF(AND(Budget!$E$12="Traditional",Budget!$A$12="Community Pathways Waiver"),FK13,))))</f>
        <v>0</v>
      </c>
      <c r="FF13" s="232" t="str">
        <f t="shared" si="4"/>
        <v/>
      </c>
      <c r="FG13" s="244"/>
      <c r="FH13" s="244"/>
      <c r="FI13" s="233"/>
      <c r="FJ13" s="18"/>
      <c r="FK13" s="18"/>
      <c r="FL13" s="18"/>
      <c r="FM13" s="77"/>
      <c r="FN13" s="230" t="str">
        <f>IF(FO13="","",MAX(FN$2:FN12)+1)</f>
        <v/>
      </c>
      <c r="FO13" s="231" t="str">
        <f t="shared" si="2"/>
        <v/>
      </c>
      <c r="FP13" s="43">
        <f>IF(AND(Budget!$E$12="Self-Direction",Budget!$A$12="Community Supports Waiver"),Budget!FU13,IF(AND(Budget!$E$12="Traditional",Budget!$A$12="Community Supports Waiver"),Budget!FU13,IF(AND(Budget!$E$12="Self-Direction",Budget!$A$12="Community Pathways Waiver"),Budget!FU13,IF(AND(Budget!$E$12="Traditional",Budget!$A$12="Community Pathways Waiver"),FU13,))))</f>
        <v>0</v>
      </c>
      <c r="FQ13" s="232" t="str">
        <f t="shared" si="5"/>
        <v/>
      </c>
      <c r="FR13" s="244"/>
      <c r="FS13" s="244"/>
      <c r="FT13" s="18"/>
      <c r="FU13" s="18"/>
      <c r="FV13" s="77"/>
      <c r="FW13" s="77"/>
      <c r="FX13" s="77"/>
    </row>
    <row r="14" spans="1:180" ht="13.5" customHeight="1" thickBot="1">
      <c r="A14" s="679" t="str">
        <f>IF(E13="Community Pathways Waiver","NOTE:  For "&amp;N5&amp;" CP Plans, use a Plan End Date of 6/30/"&amp;RIGHT(N5,2)&amp;".  For "&amp;O5&amp;" CP Plans, use a Plan End Date of 6/30/"&amp;RIGHT(O5,2)&amp;".","")</f>
        <v/>
      </c>
      <c r="D14" s="398" t="s">
        <v>414</v>
      </c>
      <c r="E14" s="399"/>
      <c r="F14" s="458"/>
      <c r="G14" s="459"/>
      <c r="N14" s="77"/>
      <c r="O14" s="32" t="s">
        <v>487</v>
      </c>
      <c r="P14" s="32"/>
      <c r="Q14" s="32"/>
      <c r="R14" s="32"/>
      <c r="S14" s="32"/>
      <c r="T14" s="32"/>
      <c r="U14" s="32"/>
      <c r="V14" s="32"/>
      <c r="W14" s="32"/>
      <c r="X14" s="32"/>
      <c r="Y14" s="32"/>
      <c r="Z14" s="32"/>
      <c r="AA14" s="32"/>
      <c r="AB14" s="32"/>
      <c r="AC14" s="32"/>
      <c r="AD14" s="32"/>
      <c r="AE14" s="626">
        <f>IF(AT32&gt;0,24,23)</f>
        <v>24</v>
      </c>
      <c r="AF14" s="32"/>
      <c r="AG14" s="635" t="str">
        <f>N5</f>
        <v>FY 2024</v>
      </c>
      <c r="AH14" s="32"/>
      <c r="AI14" s="635" t="str">
        <f>O5</f>
        <v>FY 2025</v>
      </c>
      <c r="AP14" s="320" t="s">
        <v>149</v>
      </c>
      <c r="AQ14" s="321">
        <f>IF(ISERROR((IF(AND(Budget!AE30&gt;0,AE30&lt;1),1,ROUND(Budget!AE30,0)))),"",(IF(AND(Budget!AE30&gt;0,Budget!AE30&lt;1),1,ROUND(Budget!AE30,0))))</f>
        <v>0</v>
      </c>
      <c r="AR14" s="244"/>
      <c r="AS14" s="319" t="s">
        <v>415</v>
      </c>
      <c r="AT14" s="244"/>
      <c r="AU14" s="244"/>
      <c r="AV14" s="596" t="s">
        <v>173</v>
      </c>
      <c r="AW14" s="315">
        <v>3</v>
      </c>
      <c r="AX14" s="316">
        <v>9</v>
      </c>
      <c r="AY14" s="225" t="s">
        <v>0</v>
      </c>
      <c r="AZ14" s="244"/>
      <c r="BA14" s="244"/>
      <c r="BB14" s="317" t="str">
        <f t="shared" si="6"/>
        <v>20</v>
      </c>
      <c r="BC14" s="226" t="s">
        <v>13</v>
      </c>
      <c r="BD14" s="226" t="s">
        <v>14</v>
      </c>
      <c r="BE14" s="226" t="s">
        <v>26</v>
      </c>
      <c r="BF14" s="226" t="s">
        <v>27</v>
      </c>
      <c r="BG14" s="155">
        <v>0</v>
      </c>
      <c r="BH14" s="155">
        <v>0</v>
      </c>
      <c r="BI14" s="155">
        <v>0</v>
      </c>
      <c r="BJ14" s="227" t="s">
        <v>17</v>
      </c>
      <c r="BK14" s="226"/>
      <c r="BL14" s="317" t="str">
        <f t="shared" si="7"/>
        <v>283-168</v>
      </c>
      <c r="BM14" s="356">
        <v>43282</v>
      </c>
      <c r="BN14" s="356">
        <v>43282</v>
      </c>
      <c r="BO14" s="360" t="s">
        <v>26</v>
      </c>
      <c r="BP14" s="358" t="s">
        <v>4</v>
      </c>
      <c r="BQ14" s="400">
        <v>20.88</v>
      </c>
      <c r="BR14" s="400">
        <v>20.88</v>
      </c>
      <c r="BS14" s="400">
        <v>20.88</v>
      </c>
      <c r="BT14" s="359">
        <v>2</v>
      </c>
      <c r="BU14" s="42"/>
      <c r="BV14" s="317" t="str">
        <f t="shared" si="8"/>
        <v>283-168</v>
      </c>
      <c r="BW14" s="356">
        <v>43282</v>
      </c>
      <c r="BX14" s="356">
        <v>43282</v>
      </c>
      <c r="BY14" s="360" t="s">
        <v>26</v>
      </c>
      <c r="BZ14" s="358" t="s">
        <v>4</v>
      </c>
      <c r="CA14" s="448">
        <v>22.58</v>
      </c>
      <c r="CB14" s="448">
        <v>22.58</v>
      </c>
      <c r="CC14" s="448">
        <v>22.58</v>
      </c>
      <c r="CD14" s="359">
        <v>2</v>
      </c>
      <c r="CE14" s="226"/>
      <c r="CF14" s="313" t="str">
        <f t="shared" si="13"/>
        <v>125</v>
      </c>
      <c r="CG14" s="356">
        <v>43282</v>
      </c>
      <c r="CH14" s="356">
        <v>43282</v>
      </c>
      <c r="CI14" s="370" t="s">
        <v>15</v>
      </c>
      <c r="CJ14" s="370"/>
      <c r="CK14" s="371">
        <v>2</v>
      </c>
      <c r="CL14" s="371">
        <v>5</v>
      </c>
      <c r="CM14" s="370">
        <v>1</v>
      </c>
      <c r="CN14" s="494">
        <f>'FPS Pivot Table'!D24</f>
        <v>52.46</v>
      </c>
      <c r="CO14" s="158"/>
      <c r="CP14" s="313" t="str">
        <f t="shared" si="14"/>
        <v>125</v>
      </c>
      <c r="CQ14" s="356">
        <v>43282</v>
      </c>
      <c r="CR14" s="356">
        <v>43282</v>
      </c>
      <c r="CS14" s="370" t="s">
        <v>15</v>
      </c>
      <c r="CT14" s="370"/>
      <c r="CU14" s="371">
        <v>2</v>
      </c>
      <c r="CV14" s="371">
        <v>5</v>
      </c>
      <c r="CW14" s="370">
        <v>1</v>
      </c>
      <c r="CX14" s="494">
        <f>'FPS Pivot Table'!E24</f>
        <v>54.56</v>
      </c>
      <c r="CY14" s="661">
        <f t="shared" si="15"/>
        <v>56.74</v>
      </c>
      <c r="CZ14" s="158"/>
      <c r="DA14" s="313" t="str">
        <f t="shared" si="9"/>
        <v>125</v>
      </c>
      <c r="DB14" s="356">
        <v>43282</v>
      </c>
      <c r="DC14" s="356">
        <v>43282</v>
      </c>
      <c r="DD14" s="371" t="s">
        <v>375</v>
      </c>
      <c r="DE14" s="371"/>
      <c r="DF14" s="371">
        <v>2</v>
      </c>
      <c r="DG14" s="371">
        <v>5</v>
      </c>
      <c r="DH14" s="371">
        <v>1</v>
      </c>
      <c r="DI14" s="494">
        <f>'FPS Pivot Table'!F24</f>
        <v>65.58</v>
      </c>
      <c r="DJ14" s="244"/>
      <c r="DK14" s="313" t="str">
        <f t="shared" si="10"/>
        <v>125</v>
      </c>
      <c r="DL14" s="356">
        <v>43282</v>
      </c>
      <c r="DM14" s="356">
        <v>43282</v>
      </c>
      <c r="DN14" s="371" t="s">
        <v>375</v>
      </c>
      <c r="DO14" s="371"/>
      <c r="DP14" s="371">
        <v>2</v>
      </c>
      <c r="DQ14" s="371">
        <v>5</v>
      </c>
      <c r="DR14" s="371">
        <v>1</v>
      </c>
      <c r="DS14" s="494">
        <f>'FPS Pivot Table'!G24</f>
        <v>68.2</v>
      </c>
      <c r="DT14" s="661">
        <f t="shared" si="16"/>
        <v>70.930000000000007</v>
      </c>
      <c r="DU14" s="244"/>
      <c r="DV14" s="244"/>
      <c r="DW14" s="509" t="s">
        <v>702</v>
      </c>
      <c r="DX14" s="244"/>
      <c r="DY14" s="244"/>
      <c r="DZ14" s="228" t="str">
        <f t="shared" si="11"/>
        <v>CalvertSupported Employment</v>
      </c>
      <c r="EA14" s="517" t="s">
        <v>165</v>
      </c>
      <c r="EB14" s="463" t="s">
        <v>152</v>
      </c>
      <c r="EC14" s="229">
        <v>23.43</v>
      </c>
      <c r="ED14" s="462">
        <v>28.64</v>
      </c>
      <c r="EE14" s="536">
        <f>'FY24_PCI2_Rates.locked v3'!$Q$16</f>
        <v>32.17</v>
      </c>
      <c r="EF14" s="661">
        <f t="shared" si="17"/>
        <v>33.46</v>
      </c>
      <c r="EG14" s="536"/>
      <c r="EH14" s="228" t="str">
        <f t="shared" si="12"/>
        <v>CalvertResidential</v>
      </c>
      <c r="EI14" s="228" t="s">
        <v>165</v>
      </c>
      <c r="EJ14" s="168" t="s">
        <v>376</v>
      </c>
      <c r="EK14" s="229">
        <v>21.09</v>
      </c>
      <c r="EL14" s="466">
        <v>25.78</v>
      </c>
      <c r="EM14" s="539">
        <f>'FY24_PCI2_Rates.locked v3'!$Q$23</f>
        <v>28.94</v>
      </c>
      <c r="EN14" s="661">
        <f t="shared" si="18"/>
        <v>30.1</v>
      </c>
      <c r="EO14" s="244"/>
      <c r="EP14" s="230">
        <v>12</v>
      </c>
      <c r="EQ14" s="231" t="str">
        <f>IF(ER14&lt;&gt;0,ER14,"")</f>
        <v/>
      </c>
      <c r="ER14" s="150" t="str">
        <f>IF(AND(Budget!$E$12="Self-Direction",Budget!$A$12="Community Supports Waiver"),Budget!EV14,IF(AND(Budget!$E$12="Traditional",Budget!$A$12="Community Supports Waiver"),Budget!EW14,IF(AND(Budget!$E$12="Self-Direction",Budget!$A$12="Family Supports Waiver"),Budget!EZ14,IF(AND(Budget!$E$12="Traditional",Budget!$A$12="Family Supports Waiver"),Budget!FA14,IF(AND(Budget!$E$12="Traditional",Budget!$A$12="Community Pathways Waiver"),Budget!EY14,IF(AND(Budget!$E$12="Self-Direction",Budget!$A$12="Community Pathways Waiver"),Budget!EX14,""))))))</f>
        <v/>
      </c>
      <c r="ES14" s="232" t="str">
        <f t="shared" si="1"/>
        <v/>
      </c>
      <c r="ET14" s="244"/>
      <c r="EU14" s="244"/>
      <c r="EV14" s="237" t="s">
        <v>509</v>
      </c>
      <c r="EW14" s="233" t="s">
        <v>92</v>
      </c>
      <c r="EX14" s="18" t="s">
        <v>407</v>
      </c>
      <c r="EY14" s="18" t="s">
        <v>509</v>
      </c>
      <c r="EZ14" s="18" t="s">
        <v>509</v>
      </c>
      <c r="FA14" s="27" t="s">
        <v>92</v>
      </c>
      <c r="FB14" s="77"/>
      <c r="FC14" s="230" t="str">
        <f>IF(FD14="","",MAX(FC$2:FC13)+1)</f>
        <v/>
      </c>
      <c r="FD14" s="231" t="str">
        <f t="shared" si="3"/>
        <v/>
      </c>
      <c r="FE14" s="231">
        <f>IF(AND(Budget!$E$12="Self-Direction",Budget!$A$12="Community Supports Waiver"),Budget!FI14,IF(AND(Budget!$E$12="Traditional",Budget!$A$12="Community Supports Waiver"),Budget!FL14,IF(AND(Budget!$E$12="Self-Direction",Budget!$A$12="Community Pathways Waiver"),Budget!FJ14,IF(AND(Budget!$E$12="Traditional",Budget!$A$12="Community Pathways Waiver"),FK14,))))</f>
        <v>0</v>
      </c>
      <c r="FF14" s="232" t="str">
        <f t="shared" si="4"/>
        <v/>
      </c>
      <c r="FG14" s="244"/>
      <c r="FH14" s="244"/>
      <c r="FI14" s="237"/>
      <c r="FJ14" s="27"/>
      <c r="FK14" s="27"/>
      <c r="FL14" s="27"/>
      <c r="FM14" s="77"/>
      <c r="FN14" s="230" t="str">
        <f>IF(FO14="","",MAX(FN$2:FN13)+1)</f>
        <v/>
      </c>
      <c r="FO14" s="231" t="str">
        <f t="shared" si="2"/>
        <v/>
      </c>
      <c r="FP14" s="43">
        <f>IF(AND(Budget!$E$12="Self-Direction",Budget!$A$12="Community Supports Waiver"),Budget!FU14,IF(AND(Budget!$E$12="Traditional",Budget!$A$12="Community Supports Waiver"),Budget!FU14,IF(AND(Budget!$E$12="Self-Direction",Budget!$A$12="Community Pathways Waiver"),Budget!FU14,IF(AND(Budget!$E$12="Traditional",Budget!$A$12="Community Pathways Waiver"),FU14,))))</f>
        <v>0</v>
      </c>
      <c r="FQ14" s="232" t="str">
        <f t="shared" si="5"/>
        <v/>
      </c>
      <c r="FR14" s="244"/>
      <c r="FS14" s="244"/>
      <c r="FT14" s="27"/>
      <c r="FU14" s="27"/>
      <c r="FV14" s="77"/>
      <c r="FW14" s="77"/>
      <c r="FX14" s="77"/>
    </row>
    <row r="15" spans="1:180" ht="15" thickBot="1">
      <c r="A15" s="604">
        <f>A9-E9</f>
        <v>1</v>
      </c>
      <c r="F15" s="32"/>
      <c r="G15" s="32"/>
      <c r="M15" s="77"/>
      <c r="N15" s="77"/>
      <c r="P15" s="32"/>
      <c r="Q15" s="32"/>
      <c r="R15" s="32"/>
      <c r="S15" s="32"/>
      <c r="T15" s="32"/>
      <c r="U15" s="32"/>
      <c r="V15" s="32"/>
      <c r="W15" s="32"/>
      <c r="X15" s="32"/>
      <c r="Y15" s="32"/>
      <c r="Z15" s="32"/>
      <c r="AA15" s="32"/>
      <c r="AB15" s="32"/>
      <c r="AC15" s="32"/>
      <c r="AD15" s="32"/>
      <c r="AE15" s="627">
        <f>G30+1</f>
        <v>1</v>
      </c>
      <c r="AF15" s="472"/>
      <c r="AG15" s="631">
        <f>IF(ISBLANK(E9),0,IFERROR(IF(ISBLANK(O5),DATEDIF(E9,E10,"d")+1,DATEDIF(E9,DATE(RIGHT(N5,4),6,30),"d")+1),0))</f>
        <v>0</v>
      </c>
      <c r="AH15" s="205"/>
      <c r="AI15" s="631">
        <f>IFERROR(IF(O5="",0,DATEDIF(DATE(RIGHT(N5,4),7,1),E10,"d")+1),0)</f>
        <v>0</v>
      </c>
      <c r="AP15" s="322" t="s">
        <v>203</v>
      </c>
      <c r="AQ15" s="323">
        <f>AQ14-82</f>
        <v>-82</v>
      </c>
      <c r="AR15" s="244"/>
      <c r="AS15" s="588" t="s">
        <v>416</v>
      </c>
      <c r="AT15" s="244"/>
      <c r="AU15" s="244"/>
      <c r="AV15" s="596" t="s">
        <v>166</v>
      </c>
      <c r="AW15" s="315">
        <v>2</v>
      </c>
      <c r="AX15" s="316">
        <v>10</v>
      </c>
      <c r="AY15" s="225" t="s">
        <v>0</v>
      </c>
      <c r="AZ15" s="244"/>
      <c r="BA15" s="244"/>
      <c r="BB15" s="317" t="str">
        <f t="shared" si="6"/>
        <v>21-19</v>
      </c>
      <c r="BC15" s="226" t="s">
        <v>13</v>
      </c>
      <c r="BD15" s="226" t="s">
        <v>14</v>
      </c>
      <c r="BE15" s="226" t="s">
        <v>26</v>
      </c>
      <c r="BF15" s="226" t="s">
        <v>0</v>
      </c>
      <c r="BG15" s="155">
        <v>31.32</v>
      </c>
      <c r="BH15" s="155">
        <v>29.14</v>
      </c>
      <c r="BI15" s="155">
        <v>23.35</v>
      </c>
      <c r="BJ15" s="227" t="s">
        <v>17</v>
      </c>
      <c r="BK15" s="226"/>
      <c r="BL15" s="317" t="str">
        <f t="shared" si="7"/>
        <v>228-82</v>
      </c>
      <c r="BM15" s="356">
        <v>43282</v>
      </c>
      <c r="BN15" s="356">
        <v>43282</v>
      </c>
      <c r="BO15" s="360" t="s">
        <v>26</v>
      </c>
      <c r="BP15" s="358" t="s">
        <v>3</v>
      </c>
      <c r="BQ15" s="400">
        <v>27.79</v>
      </c>
      <c r="BR15" s="400">
        <v>26.05</v>
      </c>
      <c r="BS15" s="400">
        <v>20.88</v>
      </c>
      <c r="BT15" s="359">
        <v>2</v>
      </c>
      <c r="BU15" s="42"/>
      <c r="BV15" s="317" t="str">
        <f t="shared" si="8"/>
        <v>228-82</v>
      </c>
      <c r="BW15" s="356">
        <v>43282</v>
      </c>
      <c r="BX15" s="356">
        <v>43282</v>
      </c>
      <c r="BY15" s="360" t="s">
        <v>26</v>
      </c>
      <c r="BZ15" s="358" t="s">
        <v>3</v>
      </c>
      <c r="CA15" s="448">
        <v>30.06</v>
      </c>
      <c r="CB15" s="448">
        <v>28.18</v>
      </c>
      <c r="CC15" s="448">
        <v>22.58</v>
      </c>
      <c r="CD15" s="359">
        <v>2</v>
      </c>
      <c r="CE15" s="226"/>
      <c r="CF15" s="313" t="str">
        <f t="shared" si="13"/>
        <v>131</v>
      </c>
      <c r="CG15" s="356">
        <v>43282</v>
      </c>
      <c r="CH15" s="356">
        <v>43282</v>
      </c>
      <c r="CI15" s="370" t="s">
        <v>15</v>
      </c>
      <c r="CJ15" s="370"/>
      <c r="CK15" s="371">
        <v>3</v>
      </c>
      <c r="CL15" s="371">
        <v>1</v>
      </c>
      <c r="CM15" s="370">
        <v>1</v>
      </c>
      <c r="CN15" s="494">
        <f>'FPS Pivot Table'!D25</f>
        <v>43.58</v>
      </c>
      <c r="CO15" s="158"/>
      <c r="CP15" s="313" t="str">
        <f t="shared" si="14"/>
        <v>131</v>
      </c>
      <c r="CQ15" s="356">
        <v>43282</v>
      </c>
      <c r="CR15" s="356">
        <v>43282</v>
      </c>
      <c r="CS15" s="370" t="s">
        <v>15</v>
      </c>
      <c r="CT15" s="370"/>
      <c r="CU15" s="371">
        <v>3</v>
      </c>
      <c r="CV15" s="371">
        <v>1</v>
      </c>
      <c r="CW15" s="370">
        <v>1</v>
      </c>
      <c r="CX15" s="494">
        <f>'FPS Pivot Table'!E25</f>
        <v>45.32</v>
      </c>
      <c r="CY15" s="661">
        <f t="shared" si="15"/>
        <v>47.13</v>
      </c>
      <c r="CZ15" s="158"/>
      <c r="DA15" s="313" t="str">
        <f t="shared" si="9"/>
        <v>131</v>
      </c>
      <c r="DB15" s="356">
        <v>43282</v>
      </c>
      <c r="DC15" s="356">
        <v>43282</v>
      </c>
      <c r="DD15" s="371" t="s">
        <v>375</v>
      </c>
      <c r="DE15" s="371"/>
      <c r="DF15" s="371">
        <v>3</v>
      </c>
      <c r="DG15" s="371">
        <v>1</v>
      </c>
      <c r="DH15" s="371">
        <v>1</v>
      </c>
      <c r="DI15" s="494">
        <f>'FPS Pivot Table'!F25</f>
        <v>82.74</v>
      </c>
      <c r="DJ15" s="244"/>
      <c r="DK15" s="313" t="str">
        <f t="shared" si="10"/>
        <v>131</v>
      </c>
      <c r="DL15" s="356">
        <v>43282</v>
      </c>
      <c r="DM15" s="356">
        <v>43282</v>
      </c>
      <c r="DN15" s="371" t="s">
        <v>375</v>
      </c>
      <c r="DO15" s="371"/>
      <c r="DP15" s="371">
        <v>3</v>
      </c>
      <c r="DQ15" s="371">
        <v>1</v>
      </c>
      <c r="DR15" s="371">
        <v>1</v>
      </c>
      <c r="DS15" s="494">
        <f>'FPS Pivot Table'!G25</f>
        <v>86.05</v>
      </c>
      <c r="DT15" s="661">
        <f t="shared" si="16"/>
        <v>89.49</v>
      </c>
      <c r="DU15" s="244"/>
      <c r="DV15" s="244"/>
      <c r="DW15" s="510" t="s">
        <v>703</v>
      </c>
      <c r="DX15" s="244"/>
      <c r="DY15" s="244"/>
      <c r="DZ15" s="228" t="str">
        <f t="shared" si="11"/>
        <v>CarolineDay</v>
      </c>
      <c r="EA15" s="518" t="s">
        <v>171</v>
      </c>
      <c r="EB15" s="463" t="s">
        <v>134</v>
      </c>
      <c r="EC15" s="229">
        <v>22.11</v>
      </c>
      <c r="ED15" s="462">
        <v>27.03</v>
      </c>
      <c r="EE15" s="536">
        <f>'FY24_PCI2_Rates.locked v3'!$Q$17</f>
        <v>30.36</v>
      </c>
      <c r="EF15" s="661">
        <f t="shared" si="17"/>
        <v>31.57</v>
      </c>
      <c r="EG15" s="536"/>
      <c r="EH15" s="228" t="str">
        <f t="shared" si="12"/>
        <v>CarolineResidential</v>
      </c>
      <c r="EI15" s="228" t="s">
        <v>171</v>
      </c>
      <c r="EJ15" s="168" t="s">
        <v>376</v>
      </c>
      <c r="EK15" s="229">
        <v>19.78</v>
      </c>
      <c r="EL15" s="466">
        <v>24.18</v>
      </c>
      <c r="EM15" s="539">
        <f>'FY24_PCI2_Rates.locked v3'!$Q$24</f>
        <v>27.15</v>
      </c>
      <c r="EN15" s="661">
        <f t="shared" si="18"/>
        <v>28.24</v>
      </c>
      <c r="EO15" s="244"/>
      <c r="EP15" s="230" t="str">
        <f>IF(EQ15="","",MAX(EP$2:EP14)+1)</f>
        <v/>
      </c>
      <c r="EQ15" s="231" t="str">
        <f t="shared" si="0"/>
        <v/>
      </c>
      <c r="ER15" s="150" t="str">
        <f>IF(AND(Budget!$E$12="Self-Direction",Budget!$A$12="Community Supports Waiver"),Budget!EV15,IF(AND(Budget!$E$12="Traditional",Budget!$A$12="Community Supports Waiver"),Budget!EW15,IF(AND(Budget!$E$12="Self-Direction",Budget!$A$12="Family Supports Waiver"),Budget!EZ15,IF(AND(Budget!$E$12="Traditional",Budget!$A$12="Family Supports Waiver"),Budget!FA15,IF(AND(Budget!$E$12="Traditional",Budget!$A$12="Community Pathways Waiver"),Budget!EY15,IF(AND(Budget!$E$12="Self-Direction",Budget!$A$12="Community Pathways Waiver"),Budget!EX15,""))))))</f>
        <v/>
      </c>
      <c r="ES15" s="232" t="str">
        <f t="shared" si="1"/>
        <v/>
      </c>
      <c r="ET15" s="244"/>
      <c r="EU15" s="244"/>
      <c r="EV15" s="233" t="s">
        <v>92</v>
      </c>
      <c r="EW15" s="233" t="s">
        <v>101</v>
      </c>
      <c r="EX15" s="27" t="s">
        <v>509</v>
      </c>
      <c r="EY15" s="27" t="s">
        <v>92</v>
      </c>
      <c r="EZ15" s="27" t="s">
        <v>92</v>
      </c>
      <c r="FA15" s="18" t="s">
        <v>101</v>
      </c>
      <c r="FB15" s="77"/>
      <c r="FC15" s="230" t="str">
        <f>IF(FD15="","",MAX(FC$2:FC14)+1)</f>
        <v/>
      </c>
      <c r="FD15" s="231" t="str">
        <f t="shared" si="3"/>
        <v/>
      </c>
      <c r="FE15" s="231">
        <f>IF(AND(Budget!$E$12="Self-Direction",Budget!$A$12="Community Supports Waiver"),Budget!FI15,IF(AND(Budget!$E$12="Traditional",Budget!$A$12="Community Supports Waiver"),Budget!FL15,IF(AND(Budget!$E$12="Self-Direction",Budget!$A$12="Community Pathways Waiver"),Budget!FJ15,IF(AND(Budget!$E$12="Traditional",Budget!$A$12="Community Pathways Waiver"),FK15,))))</f>
        <v>0</v>
      </c>
      <c r="FF15" s="232" t="str">
        <f t="shared" si="4"/>
        <v/>
      </c>
      <c r="FG15" s="244"/>
      <c r="FH15" s="244"/>
      <c r="FI15" s="233"/>
      <c r="FJ15" s="18"/>
      <c r="FK15" s="18"/>
      <c r="FL15" s="18"/>
      <c r="FM15" s="77"/>
      <c r="FN15" s="230" t="str">
        <f>IF(FO15="","",MAX(FN$2:FN14)+1)</f>
        <v/>
      </c>
      <c r="FO15" s="231" t="str">
        <f t="shared" si="2"/>
        <v/>
      </c>
      <c r="FP15" s="43">
        <f>IF(AND(Budget!$E$12="Self-Direction",Budget!$A$12="Community Supports Waiver"),Budget!FU15,IF(AND(Budget!$E$12="Traditional",Budget!$A$12="Community Supports Waiver"),Budget!FU15,IF(AND(Budget!$E$12="Self-Direction",Budget!$A$12="Community Pathways Waiver"),Budget!FU15,IF(AND(Budget!$E$12="Traditional",Budget!$A$12="Community Pathways Waiver"),FU15,))))</f>
        <v>0</v>
      </c>
      <c r="FQ15" s="232" t="str">
        <f t="shared" si="5"/>
        <v/>
      </c>
      <c r="FR15" s="244"/>
      <c r="FS15" s="244"/>
      <c r="FT15" s="18"/>
      <c r="FU15" s="18"/>
      <c r="FV15" s="32"/>
      <c r="FW15" s="32"/>
      <c r="FX15" s="77"/>
    </row>
    <row r="16" spans="1:180" ht="28.5" customHeight="1" thickBot="1">
      <c r="A16" s="674">
        <v>45108</v>
      </c>
      <c r="B16" s="674">
        <v>45838</v>
      </c>
      <c r="D16" s="193" t="s">
        <v>436</v>
      </c>
      <c r="F16" s="32"/>
      <c r="G16" s="32"/>
      <c r="I16" s="32"/>
      <c r="J16" s="32"/>
      <c r="K16" s="678"/>
      <c r="L16" s="32"/>
      <c r="M16" s="77"/>
      <c r="AG16" s="634"/>
      <c r="AP16" s="244"/>
      <c r="AQ16" s="244"/>
      <c r="AR16" s="244"/>
      <c r="AS16" s="588" t="s">
        <v>417</v>
      </c>
      <c r="AT16" s="244"/>
      <c r="AU16" s="244"/>
      <c r="AV16" s="596" t="s">
        <v>172</v>
      </c>
      <c r="AW16" s="315">
        <v>3</v>
      </c>
      <c r="AX16" s="316">
        <v>11</v>
      </c>
      <c r="AY16" s="225" t="s">
        <v>0</v>
      </c>
      <c r="AZ16" s="244"/>
      <c r="BA16" s="244"/>
      <c r="BB16" s="317" t="str">
        <f t="shared" si="6"/>
        <v>220-22</v>
      </c>
      <c r="BC16" s="226" t="s">
        <v>13</v>
      </c>
      <c r="BD16" s="226" t="s">
        <v>14</v>
      </c>
      <c r="BE16" s="226" t="s">
        <v>26</v>
      </c>
      <c r="BF16" s="226" t="s">
        <v>1</v>
      </c>
      <c r="BG16" s="155">
        <v>29.95</v>
      </c>
      <c r="BH16" s="155">
        <v>28.08</v>
      </c>
      <c r="BI16" s="155">
        <v>22.5</v>
      </c>
      <c r="BJ16" s="227" t="s">
        <v>17</v>
      </c>
      <c r="BK16" s="226"/>
      <c r="BL16" s="317" t="str">
        <f t="shared" si="7"/>
        <v>227</v>
      </c>
      <c r="BM16" s="356">
        <v>43282</v>
      </c>
      <c r="BN16" s="356">
        <v>43282</v>
      </c>
      <c r="BO16" s="360" t="s">
        <v>26</v>
      </c>
      <c r="BP16" s="358" t="s">
        <v>30</v>
      </c>
      <c r="BQ16" s="400">
        <v>28.2</v>
      </c>
      <c r="BR16" s="400">
        <v>26.43</v>
      </c>
      <c r="BS16" s="400">
        <v>21.17</v>
      </c>
      <c r="BT16" s="359">
        <v>2</v>
      </c>
      <c r="BU16" s="42"/>
      <c r="BV16" s="317" t="str">
        <f t="shared" si="8"/>
        <v>227</v>
      </c>
      <c r="BW16" s="356">
        <v>43282</v>
      </c>
      <c r="BX16" s="356">
        <v>43282</v>
      </c>
      <c r="BY16" s="360" t="s">
        <v>26</v>
      </c>
      <c r="BZ16" s="358" t="s">
        <v>30</v>
      </c>
      <c r="CA16" s="448">
        <v>30.49</v>
      </c>
      <c r="CB16" s="448">
        <v>28.58</v>
      </c>
      <c r="CC16" s="448">
        <v>22.89</v>
      </c>
      <c r="CD16" s="359">
        <v>2</v>
      </c>
      <c r="CE16" s="226"/>
      <c r="CF16" s="313" t="str">
        <f t="shared" si="13"/>
        <v>132</v>
      </c>
      <c r="CG16" s="356">
        <v>43282</v>
      </c>
      <c r="CH16" s="356">
        <v>43282</v>
      </c>
      <c r="CI16" s="370" t="s">
        <v>15</v>
      </c>
      <c r="CJ16" s="370"/>
      <c r="CK16" s="371">
        <v>3</v>
      </c>
      <c r="CL16" s="371">
        <v>2</v>
      </c>
      <c r="CM16" s="370">
        <v>1</v>
      </c>
      <c r="CN16" s="494">
        <f>'FPS Pivot Table'!D26</f>
        <v>46.48</v>
      </c>
      <c r="CO16" s="158"/>
      <c r="CP16" s="313" t="str">
        <f t="shared" si="14"/>
        <v>132</v>
      </c>
      <c r="CQ16" s="356">
        <v>43282</v>
      </c>
      <c r="CR16" s="356">
        <v>43282</v>
      </c>
      <c r="CS16" s="370" t="s">
        <v>15</v>
      </c>
      <c r="CT16" s="370"/>
      <c r="CU16" s="371">
        <v>3</v>
      </c>
      <c r="CV16" s="371">
        <v>2</v>
      </c>
      <c r="CW16" s="370">
        <v>1</v>
      </c>
      <c r="CX16" s="494">
        <f>'FPS Pivot Table'!E26</f>
        <v>48.34</v>
      </c>
      <c r="CY16" s="661">
        <f t="shared" si="15"/>
        <v>50.27</v>
      </c>
      <c r="CZ16" s="158"/>
      <c r="DA16" s="313" t="str">
        <f t="shared" si="9"/>
        <v>132</v>
      </c>
      <c r="DB16" s="356">
        <v>43282</v>
      </c>
      <c r="DC16" s="356">
        <v>43282</v>
      </c>
      <c r="DD16" s="371" t="s">
        <v>375</v>
      </c>
      <c r="DE16" s="371"/>
      <c r="DF16" s="371">
        <v>3</v>
      </c>
      <c r="DG16" s="371">
        <v>2</v>
      </c>
      <c r="DH16" s="371">
        <v>1</v>
      </c>
      <c r="DI16" s="494">
        <f>'FPS Pivot Table'!F26</f>
        <v>85.31</v>
      </c>
      <c r="DJ16" s="244"/>
      <c r="DK16" s="313" t="str">
        <f t="shared" si="10"/>
        <v>132</v>
      </c>
      <c r="DL16" s="356">
        <v>43282</v>
      </c>
      <c r="DM16" s="356">
        <v>43282</v>
      </c>
      <c r="DN16" s="371" t="s">
        <v>375</v>
      </c>
      <c r="DO16" s="371"/>
      <c r="DP16" s="371">
        <v>3</v>
      </c>
      <c r="DQ16" s="371">
        <v>2</v>
      </c>
      <c r="DR16" s="371">
        <v>1</v>
      </c>
      <c r="DS16" s="494">
        <f>'FPS Pivot Table'!G26</f>
        <v>88.72</v>
      </c>
      <c r="DT16" s="661">
        <f t="shared" si="16"/>
        <v>92.27</v>
      </c>
      <c r="DU16" s="244"/>
      <c r="DV16" s="244"/>
      <c r="DW16" s="511" t="s">
        <v>704</v>
      </c>
      <c r="DX16" s="244"/>
      <c r="DY16" s="244"/>
      <c r="DZ16" s="228" t="str">
        <f t="shared" si="11"/>
        <v>CarolineSupported Employment</v>
      </c>
      <c r="EA16" s="518" t="s">
        <v>171</v>
      </c>
      <c r="EB16" s="463" t="s">
        <v>152</v>
      </c>
      <c r="EC16" s="229">
        <v>22.11</v>
      </c>
      <c r="ED16" s="462">
        <v>27.03</v>
      </c>
      <c r="EE16" s="536">
        <f>'FY24_PCI2_Rates.locked v3'!$Q$17</f>
        <v>30.36</v>
      </c>
      <c r="EF16" s="661">
        <f t="shared" si="17"/>
        <v>31.57</v>
      </c>
      <c r="EG16" s="536"/>
      <c r="EH16" s="228" t="str">
        <f t="shared" si="12"/>
        <v>CarolineResidential</v>
      </c>
      <c r="EI16" s="228" t="s">
        <v>171</v>
      </c>
      <c r="EJ16" s="168" t="s">
        <v>376</v>
      </c>
      <c r="EK16" s="229">
        <v>19.78</v>
      </c>
      <c r="EL16" s="466">
        <v>24.18</v>
      </c>
      <c r="EM16" s="539">
        <f>'FY24_PCI2_Rates.locked v3'!$Q$24</f>
        <v>27.15</v>
      </c>
      <c r="EN16" s="661">
        <f t="shared" si="18"/>
        <v>28.24</v>
      </c>
      <c r="EO16" s="244"/>
      <c r="EP16" s="230" t="str">
        <f>IF(EQ16="","",MAX(EP$2:EP15)+1)</f>
        <v/>
      </c>
      <c r="EQ16" s="231" t="str">
        <f t="shared" si="0"/>
        <v/>
      </c>
      <c r="ER16" s="150" t="str">
        <f>IF(AND(Budget!$E$12="Self-Direction",Budget!$A$12="Community Supports Waiver"),Budget!EV16,IF(AND(Budget!$E$12="Traditional",Budget!$A$12="Community Supports Waiver"),Budget!EW16,IF(AND(Budget!$E$12="Self-Direction",Budget!$A$12="Family Supports Waiver"),Budget!EZ16,IF(AND(Budget!$E$12="Traditional",Budget!$A$12="Family Supports Waiver"),Budget!FA16,IF(AND(Budget!$E$12="Traditional",Budget!$A$12="Community Pathways Waiver"),Budget!EY16,IF(AND(Budget!$E$12="Self-Direction",Budget!$A$12="Community Pathways Waiver"),Budget!EX16,""))))))</f>
        <v/>
      </c>
      <c r="ES16" s="232" t="str">
        <f>IF(ISERROR(INDEX($EQ$3:$EQ$24,MATCH(ROW()-ROW($ES$2),$EP$3:$EP$19,0))),"",INDEX($EQ$3:$EQ$19,MATCH(ROW()-ROW($ES$2),$EP$3:$EP$24,0)))</f>
        <v/>
      </c>
      <c r="ET16" s="244"/>
      <c r="EU16" s="244"/>
      <c r="EV16" s="233" t="s">
        <v>101</v>
      </c>
      <c r="EW16" s="237" t="s">
        <v>106</v>
      </c>
      <c r="EX16" s="18" t="s">
        <v>92</v>
      </c>
      <c r="EY16" s="453" t="s">
        <v>406</v>
      </c>
      <c r="EZ16" s="18" t="s">
        <v>101</v>
      </c>
      <c r="FA16" s="27" t="s">
        <v>106</v>
      </c>
      <c r="FB16" s="77"/>
      <c r="FC16" s="230" t="str">
        <f>IF(FD16="","",MAX(FC$2:FC15)+1)</f>
        <v/>
      </c>
      <c r="FD16" s="231" t="str">
        <f t="shared" si="3"/>
        <v/>
      </c>
      <c r="FE16" s="231">
        <f>IF(AND(Budget!$E$12="Self-Direction",Budget!$A$12="Community Supports Waiver"),Budget!FI16,IF(AND(Budget!$E$12="Traditional",Budget!$A$12="Community Supports Waiver"),Budget!FL16,IF(AND(Budget!$E$12="Self-Direction",Budget!$A$12="Community Pathways Waiver"),Budget!FJ16,IF(AND(Budget!$E$12="Traditional",Budget!$A$12="Community Pathways Waiver"),FK16,))))</f>
        <v>0</v>
      </c>
      <c r="FF16" s="232" t="str">
        <f t="shared" si="4"/>
        <v/>
      </c>
      <c r="FG16" s="244"/>
      <c r="FH16" s="244"/>
      <c r="FI16" s="237"/>
      <c r="FJ16" s="27"/>
      <c r="FK16" s="27"/>
      <c r="FL16" s="27"/>
      <c r="FM16" s="77"/>
      <c r="FN16" s="230" t="str">
        <f>IF(FO16="","",MAX(FN$2:FN15)+1)</f>
        <v/>
      </c>
      <c r="FO16" s="231" t="str">
        <f t="shared" si="2"/>
        <v/>
      </c>
      <c r="FP16" s="43">
        <f>IF(AND(Budget!$E$12="Self-Direction",Budget!$A$12="Community Supports Waiver"),Budget!FU16,IF(AND(Budget!$E$12="Traditional",Budget!$A$12="Community Supports Waiver"),Budget!FU16,IF(AND(Budget!$E$12="Self-Direction",Budget!$A$12="Community Pathways Waiver"),Budget!FU16,IF(AND(Budget!$E$12="Traditional",Budget!$A$12="Community Pathways Waiver"),FU16,))))</f>
        <v>0</v>
      </c>
      <c r="FQ16" s="232" t="str">
        <f t="shared" si="5"/>
        <v/>
      </c>
      <c r="FR16" s="244"/>
      <c r="FS16" s="244"/>
      <c r="FT16" s="27"/>
      <c r="FU16" s="27"/>
      <c r="FV16" s="32"/>
      <c r="FW16" s="32"/>
      <c r="FX16" s="77"/>
    </row>
    <row r="17" spans="1:180" ht="45.75" customHeight="1" thickBot="1">
      <c r="A17" s="665" t="s">
        <v>776</v>
      </c>
      <c r="B17" s="666">
        <v>0.04</v>
      </c>
      <c r="D17" s="4" t="s">
        <v>432</v>
      </c>
      <c r="E17" s="205"/>
      <c r="F17" s="32"/>
      <c r="G17" s="32"/>
      <c r="H17" s="32"/>
      <c r="I17" s="32"/>
      <c r="J17" s="32" t="s">
        <v>712</v>
      </c>
      <c r="K17" s="722" t="str">
        <f>IF(E9&gt;A13,"",IF(OR($E$9="",$A$9=""),"",N5&amp;" Dates ("&amp;TEXT($E$9,"MM/DD/YY")&amp;IF(O5="","-"&amp; TEXT($E$10,"mm/DD/YY"),"-"&amp;TEXT($A$13,"MM/DD/YY"))&amp;")"))</f>
        <v/>
      </c>
      <c r="L17" s="723"/>
      <c r="M17" s="723"/>
      <c r="N17" s="636" t="str">
        <f>AG15&amp; " Days"</f>
        <v>0 Days</v>
      </c>
      <c r="O17" s="722" t="str">
        <f>IF(E10&gt;A13,IF(OR($E$9="",$A$9=""),"",IF(O5="","",O5&amp;" Dates (07/01/"&amp;RIGHT(N5,2)&amp;"-"&amp;TEXT(E10,"MM/DD/YY")&amp;")")),"")</f>
        <v/>
      </c>
      <c r="P17" s="723"/>
      <c r="Q17" s="723"/>
      <c r="R17" s="636" t="str">
        <f>AI15&amp; " Days"</f>
        <v>0 Days</v>
      </c>
      <c r="S17" s="609"/>
      <c r="T17" s="609"/>
      <c r="U17" s="609"/>
      <c r="V17" s="609"/>
      <c r="W17" s="609"/>
      <c r="X17" s="609"/>
      <c r="Y17" s="609"/>
      <c r="Z17" s="609"/>
      <c r="AA17" s="609"/>
      <c r="AB17" s="609"/>
      <c r="AC17" s="609"/>
      <c r="AD17" s="609"/>
      <c r="AN17" s="468">
        <f>COLUMN(AN19)</f>
        <v>40</v>
      </c>
      <c r="AP17" s="541" t="s">
        <v>458</v>
      </c>
      <c r="AQ17" s="541" t="s">
        <v>459</v>
      </c>
      <c r="AR17" s="244"/>
      <c r="AS17" s="588" t="s">
        <v>418</v>
      </c>
      <c r="AT17" s="244"/>
      <c r="AU17" s="244"/>
      <c r="AV17" s="596" t="s">
        <v>161</v>
      </c>
      <c r="AW17" s="315">
        <v>1</v>
      </c>
      <c r="AX17" s="316">
        <v>12</v>
      </c>
      <c r="AY17" s="225" t="s">
        <v>0</v>
      </c>
      <c r="AZ17" s="244"/>
      <c r="BA17" s="244"/>
      <c r="BB17" s="317" t="str">
        <f t="shared" si="6"/>
        <v>223-24</v>
      </c>
      <c r="BC17" s="226" t="s">
        <v>13</v>
      </c>
      <c r="BD17" s="226" t="s">
        <v>14</v>
      </c>
      <c r="BE17" s="226" t="s">
        <v>26</v>
      </c>
      <c r="BF17" s="226" t="s">
        <v>2</v>
      </c>
      <c r="BG17" s="155">
        <v>28.95</v>
      </c>
      <c r="BH17" s="155">
        <v>27.13</v>
      </c>
      <c r="BI17" s="155">
        <v>21.73</v>
      </c>
      <c r="BJ17" s="227" t="s">
        <v>17</v>
      </c>
      <c r="BK17" s="226"/>
      <c r="BL17" s="317" t="str">
        <f t="shared" si="7"/>
        <v>226</v>
      </c>
      <c r="BM17" s="356">
        <v>43282</v>
      </c>
      <c r="BN17" s="356">
        <v>43282</v>
      </c>
      <c r="BO17" s="360" t="s">
        <v>26</v>
      </c>
      <c r="BP17" s="358" t="s">
        <v>29</v>
      </c>
      <c r="BQ17" s="400">
        <v>29.06</v>
      </c>
      <c r="BR17" s="400">
        <v>27.24</v>
      </c>
      <c r="BS17" s="400">
        <v>21.84</v>
      </c>
      <c r="BT17" s="359">
        <v>2</v>
      </c>
      <c r="BU17" s="42"/>
      <c r="BV17" s="317" t="str">
        <f t="shared" si="8"/>
        <v>226</v>
      </c>
      <c r="BW17" s="356">
        <v>43282</v>
      </c>
      <c r="BX17" s="356">
        <v>43282</v>
      </c>
      <c r="BY17" s="360" t="s">
        <v>26</v>
      </c>
      <c r="BZ17" s="358" t="s">
        <v>29</v>
      </c>
      <c r="CA17" s="448">
        <v>31.43</v>
      </c>
      <c r="CB17" s="448">
        <v>29.46</v>
      </c>
      <c r="CC17" s="448">
        <v>23.63</v>
      </c>
      <c r="CD17" s="359">
        <v>2</v>
      </c>
      <c r="CE17" s="226"/>
      <c r="CF17" s="313" t="str">
        <f t="shared" si="13"/>
        <v>133</v>
      </c>
      <c r="CG17" s="356">
        <v>43282</v>
      </c>
      <c r="CH17" s="356">
        <v>43282</v>
      </c>
      <c r="CI17" s="370" t="s">
        <v>15</v>
      </c>
      <c r="CJ17" s="370"/>
      <c r="CK17" s="371">
        <v>3</v>
      </c>
      <c r="CL17" s="371">
        <v>3</v>
      </c>
      <c r="CM17" s="370">
        <v>1</v>
      </c>
      <c r="CN17" s="494">
        <f>'FPS Pivot Table'!D27</f>
        <v>51.15</v>
      </c>
      <c r="CO17" s="158"/>
      <c r="CP17" s="313" t="str">
        <f t="shared" si="14"/>
        <v>133</v>
      </c>
      <c r="CQ17" s="356">
        <v>43282</v>
      </c>
      <c r="CR17" s="356">
        <v>43282</v>
      </c>
      <c r="CS17" s="370" t="s">
        <v>15</v>
      </c>
      <c r="CT17" s="370"/>
      <c r="CU17" s="371">
        <v>3</v>
      </c>
      <c r="CV17" s="371">
        <v>3</v>
      </c>
      <c r="CW17" s="370">
        <v>1</v>
      </c>
      <c r="CX17" s="494">
        <f>'FPS Pivot Table'!E27</f>
        <v>53.2</v>
      </c>
      <c r="CY17" s="661">
        <f t="shared" si="15"/>
        <v>55.33</v>
      </c>
      <c r="CZ17" s="158"/>
      <c r="DA17" s="313" t="str">
        <f t="shared" si="9"/>
        <v>133</v>
      </c>
      <c r="DB17" s="356">
        <v>43282</v>
      </c>
      <c r="DC17" s="356">
        <v>43282</v>
      </c>
      <c r="DD17" s="371" t="s">
        <v>375</v>
      </c>
      <c r="DE17" s="371"/>
      <c r="DF17" s="371">
        <v>3</v>
      </c>
      <c r="DG17" s="371">
        <v>3</v>
      </c>
      <c r="DH17" s="371">
        <v>1</v>
      </c>
      <c r="DI17" s="494">
        <f>'FPS Pivot Table'!F27</f>
        <v>89.36</v>
      </c>
      <c r="DJ17" s="244"/>
      <c r="DK17" s="313" t="str">
        <f t="shared" si="10"/>
        <v>133</v>
      </c>
      <c r="DL17" s="356">
        <v>43282</v>
      </c>
      <c r="DM17" s="356">
        <v>43282</v>
      </c>
      <c r="DN17" s="371" t="s">
        <v>375</v>
      </c>
      <c r="DO17" s="371"/>
      <c r="DP17" s="371">
        <v>3</v>
      </c>
      <c r="DQ17" s="371">
        <v>3</v>
      </c>
      <c r="DR17" s="371">
        <v>1</v>
      </c>
      <c r="DS17" s="494">
        <f>'FPS Pivot Table'!G27</f>
        <v>92.93</v>
      </c>
      <c r="DT17" s="661">
        <f t="shared" si="16"/>
        <v>96.65</v>
      </c>
      <c r="DU17" s="244"/>
      <c r="DV17" s="244"/>
      <c r="DW17" s="512" t="s">
        <v>705</v>
      </c>
      <c r="DX17" s="244"/>
      <c r="DY17" s="244"/>
      <c r="DZ17" s="228" t="str">
        <f t="shared" si="11"/>
        <v>CarrollDay</v>
      </c>
      <c r="EA17" s="516" t="s">
        <v>163</v>
      </c>
      <c r="EB17" s="463" t="s">
        <v>134</v>
      </c>
      <c r="EC17" s="229">
        <v>22.11</v>
      </c>
      <c r="ED17" s="462">
        <v>27.03</v>
      </c>
      <c r="EE17" s="536">
        <f>'FY24_PCI2_Rates.locked v3'!$Q$15</f>
        <v>30.36</v>
      </c>
      <c r="EF17" s="661">
        <f t="shared" si="17"/>
        <v>31.57</v>
      </c>
      <c r="EG17" s="536"/>
      <c r="EH17" s="228" t="str">
        <f t="shared" si="12"/>
        <v>CarrollResidential</v>
      </c>
      <c r="EI17" s="228" t="s">
        <v>163</v>
      </c>
      <c r="EJ17" s="168" t="s">
        <v>376</v>
      </c>
      <c r="EK17" s="229">
        <v>19.78</v>
      </c>
      <c r="EL17" s="466">
        <v>24.18</v>
      </c>
      <c r="EM17" s="539">
        <f>'FY24_PCI2_Rates.locked v3'!$Q$22</f>
        <v>27.15</v>
      </c>
      <c r="EN17" s="661">
        <f t="shared" si="18"/>
        <v>28.24</v>
      </c>
      <c r="EO17" s="244"/>
      <c r="EP17" s="230" t="str">
        <f>IF(EQ17="","",MAX(EP$2:EP16)+1)</f>
        <v/>
      </c>
      <c r="EQ17" s="231" t="str">
        <f t="shared" si="0"/>
        <v/>
      </c>
      <c r="ER17" s="150" t="str">
        <f>IF(AND(Budget!$E$12="Self-Direction",Budget!$A$12="Community Supports Waiver"),Budget!EV17,IF(AND(Budget!$E$12="Traditional",Budget!$A$12="Community Supports Waiver"),Budget!EW17,IF(AND(Budget!$E$12="Self-Direction",Budget!$A$12="Family Supports Waiver"),Budget!EZ17,IF(AND(Budget!$E$12="Traditional",Budget!$A$12="Family Supports Waiver"),Budget!FA17,IF(AND(Budget!$E$12="Traditional",Budget!$A$12="Community Pathways Waiver"),Budget!EY17,IF(AND(Budget!$E$12="Self-Direction",Budget!$A$12="Community Pathways Waiver"),Budget!EX17,""))))))</f>
        <v/>
      </c>
      <c r="ES17" s="232" t="str">
        <f>IF(ISERROR(INDEX($EQ$3:$EQ$19,MATCH(ROW()-ROW($ES$2),$EP$3:$EP$19,0))),"",INDEX($EQ$3:$EQ$19,MATCH(ROW()-ROW($ES$2),$EP$3:$EP$24,0)))</f>
        <v/>
      </c>
      <c r="ET17" s="244"/>
      <c r="EU17" s="244"/>
      <c r="EV17" s="237" t="s">
        <v>106</v>
      </c>
      <c r="EW17" s="233" t="s">
        <v>111</v>
      </c>
      <c r="EX17" s="27" t="s">
        <v>406</v>
      </c>
      <c r="EY17" s="18" t="s">
        <v>101</v>
      </c>
      <c r="EZ17" s="27" t="s">
        <v>106</v>
      </c>
      <c r="FA17" s="18" t="s">
        <v>111</v>
      </c>
      <c r="FB17" s="77"/>
      <c r="FC17" s="230" t="str">
        <f>IF(FD17="","",MAX(FC$2:FC16)+1)</f>
        <v/>
      </c>
      <c r="FD17" s="231" t="str">
        <f t="shared" si="3"/>
        <v/>
      </c>
      <c r="FE17" s="231">
        <f>IF(AND(Budget!$E$12="Self-Direction",Budget!$A$12="Community Supports Waiver"),Budget!FI17,IF(AND(Budget!$E$12="Traditional",Budget!$A$12="Community Supports Waiver"),Budget!FL17,IF(AND(Budget!$E$12="Self-Direction",Budget!$A$12="Community Pathways Waiver"),Budget!FJ17,IF(AND(Budget!$E$12="Traditional",Budget!$A$12="Community Pathways Waiver"),FK17,))))</f>
        <v>0</v>
      </c>
      <c r="FF17" s="232" t="str">
        <f t="shared" si="4"/>
        <v/>
      </c>
      <c r="FG17" s="244"/>
      <c r="FH17" s="244"/>
      <c r="FI17" s="233"/>
      <c r="FJ17" s="18"/>
      <c r="FK17" s="18"/>
      <c r="FL17" s="18"/>
      <c r="FM17" s="77"/>
      <c r="FN17" s="230" t="str">
        <f>IF(FO17="","",MAX(FN$2:FN16)+1)</f>
        <v/>
      </c>
      <c r="FO17" s="231" t="str">
        <f t="shared" si="2"/>
        <v/>
      </c>
      <c r="FP17" s="43">
        <f>IF(AND(Budget!$E$12="Self-Direction",Budget!$A$12="Community Supports Waiver"),Budget!FU17,IF(AND(Budget!$E$12="Traditional",Budget!$A$12="Community Supports Waiver"),Budget!FU17,IF(AND(Budget!$E$12="Self-Direction",Budget!$A$12="Community Pathways Waiver"),Budget!FU17,IF(AND(Budget!$E$12="Traditional",Budget!$A$12="Community Pathways Waiver"),FU17,))))</f>
        <v>0</v>
      </c>
      <c r="FQ17" s="232" t="str">
        <f t="shared" si="5"/>
        <v/>
      </c>
      <c r="FR17" s="244"/>
      <c r="FS17" s="244"/>
      <c r="FT17" s="18"/>
      <c r="FU17" s="18"/>
      <c r="FV17" s="32"/>
      <c r="FW17" s="32"/>
      <c r="FX17" s="77"/>
    </row>
    <row r="18" spans="1:180" ht="31.8" thickBot="1">
      <c r="A18" s="71" t="s">
        <v>155</v>
      </c>
      <c r="B18" s="8" t="s">
        <v>291</v>
      </c>
      <c r="D18" s="71" t="s">
        <v>146</v>
      </c>
      <c r="E18" s="71" t="s">
        <v>415</v>
      </c>
      <c r="F18" s="544" t="s">
        <v>445</v>
      </c>
      <c r="G18" s="544" t="s">
        <v>446</v>
      </c>
      <c r="H18" s="544" t="s">
        <v>228</v>
      </c>
      <c r="I18" s="544" t="s">
        <v>409</v>
      </c>
      <c r="J18" s="8" t="s">
        <v>229</v>
      </c>
      <c r="K18" s="71" t="s">
        <v>155</v>
      </c>
      <c r="L18" s="544" t="s">
        <v>405</v>
      </c>
      <c r="M18" s="544" t="s">
        <v>291</v>
      </c>
      <c r="N18" s="544" t="s">
        <v>197</v>
      </c>
      <c r="O18" s="71" t="s">
        <v>155</v>
      </c>
      <c r="P18" s="544" t="s">
        <v>405</v>
      </c>
      <c r="Q18" s="544" t="s">
        <v>291</v>
      </c>
      <c r="R18" s="544" t="s">
        <v>197</v>
      </c>
      <c r="S18" s="609"/>
      <c r="T18" s="609"/>
      <c r="U18" s="609"/>
      <c r="V18" s="609"/>
      <c r="W18" s="609"/>
      <c r="X18" s="609"/>
      <c r="Y18" s="609"/>
      <c r="Z18" s="609"/>
      <c r="AA18" s="609"/>
      <c r="AB18" s="609"/>
      <c r="AC18" s="609"/>
      <c r="AD18" s="609"/>
      <c r="AE18" s="471" t="str">
        <f>+N5&amp; " Days"</f>
        <v>FY 2024 Days</v>
      </c>
      <c r="AF18" s="471" t="str">
        <f>+O5&amp; " Days"</f>
        <v>FY 2025 Days</v>
      </c>
      <c r="AG18" s="625" t="s">
        <v>384</v>
      </c>
      <c r="AH18" s="401" t="s">
        <v>213</v>
      </c>
      <c r="AI18" s="401" t="s">
        <v>382</v>
      </c>
      <c r="AJ18" s="401" t="s">
        <v>383</v>
      </c>
      <c r="AK18" s="630" t="str">
        <f>+AE18</f>
        <v>FY 2024 Days</v>
      </c>
      <c r="AL18" s="630" t="str">
        <f>+AF18</f>
        <v>FY 2025 Days</v>
      </c>
      <c r="AM18" s="401" t="s">
        <v>145</v>
      </c>
      <c r="AN18" s="402" t="str">
        <f>+N5</f>
        <v>FY 2024</v>
      </c>
      <c r="AO18" s="402" t="str">
        <f>+O5</f>
        <v>FY 2025</v>
      </c>
      <c r="AP18" s="607">
        <v>40.21</v>
      </c>
      <c r="AQ18" s="607">
        <v>72.63</v>
      </c>
      <c r="AR18" s="244"/>
      <c r="AS18" s="588" t="s">
        <v>419</v>
      </c>
      <c r="AT18" s="244"/>
      <c r="AU18" s="244"/>
      <c r="AV18" s="596" t="s">
        <v>162</v>
      </c>
      <c r="AW18" s="315">
        <v>1</v>
      </c>
      <c r="AX18" s="316">
        <v>13</v>
      </c>
      <c r="AY18" s="225" t="s">
        <v>0</v>
      </c>
      <c r="AZ18" s="244"/>
      <c r="BA18" s="244"/>
      <c r="BB18" s="317" t="str">
        <f t="shared" si="6"/>
        <v>225</v>
      </c>
      <c r="BC18" s="226" t="s">
        <v>13</v>
      </c>
      <c r="BD18" s="226" t="s">
        <v>14</v>
      </c>
      <c r="BE18" s="226" t="s">
        <v>26</v>
      </c>
      <c r="BF18" s="226" t="s">
        <v>28</v>
      </c>
      <c r="BG18" s="155">
        <v>28.02</v>
      </c>
      <c r="BH18" s="155">
        <v>26.26</v>
      </c>
      <c r="BI18" s="155">
        <v>21.04</v>
      </c>
      <c r="BJ18" s="227" t="s">
        <v>17</v>
      </c>
      <c r="BK18" s="226"/>
      <c r="BL18" s="317" t="str">
        <f t="shared" si="7"/>
        <v>225</v>
      </c>
      <c r="BM18" s="356">
        <v>43282</v>
      </c>
      <c r="BN18" s="356">
        <v>43282</v>
      </c>
      <c r="BO18" s="360" t="s">
        <v>26</v>
      </c>
      <c r="BP18" s="358" t="s">
        <v>28</v>
      </c>
      <c r="BQ18" s="400">
        <v>30.01</v>
      </c>
      <c r="BR18" s="400">
        <v>28.13</v>
      </c>
      <c r="BS18" s="400">
        <v>22.54</v>
      </c>
      <c r="BT18" s="359">
        <v>2</v>
      </c>
      <c r="BU18" s="42"/>
      <c r="BV18" s="317" t="str">
        <f t="shared" si="8"/>
        <v>225</v>
      </c>
      <c r="BW18" s="356">
        <v>43282</v>
      </c>
      <c r="BX18" s="356">
        <v>43282</v>
      </c>
      <c r="BY18" s="360" t="s">
        <v>26</v>
      </c>
      <c r="BZ18" s="358" t="s">
        <v>28</v>
      </c>
      <c r="CA18" s="448">
        <v>32.47</v>
      </c>
      <c r="CB18" s="448">
        <v>30.42</v>
      </c>
      <c r="CC18" s="448">
        <v>24.38</v>
      </c>
      <c r="CD18" s="359">
        <v>2</v>
      </c>
      <c r="CE18" s="226"/>
      <c r="CF18" s="313" t="str">
        <f t="shared" si="13"/>
        <v>134</v>
      </c>
      <c r="CG18" s="356">
        <v>43282</v>
      </c>
      <c r="CH18" s="356">
        <v>43282</v>
      </c>
      <c r="CI18" s="370" t="s">
        <v>15</v>
      </c>
      <c r="CJ18" s="370"/>
      <c r="CK18" s="371">
        <v>3</v>
      </c>
      <c r="CL18" s="371">
        <v>4</v>
      </c>
      <c r="CM18" s="370">
        <v>1</v>
      </c>
      <c r="CN18" s="494">
        <f>'FPS Pivot Table'!D28</f>
        <v>57.42</v>
      </c>
      <c r="CO18" s="158"/>
      <c r="CP18" s="313" t="str">
        <f t="shared" si="14"/>
        <v>134</v>
      </c>
      <c r="CQ18" s="356">
        <v>43282</v>
      </c>
      <c r="CR18" s="356">
        <v>43282</v>
      </c>
      <c r="CS18" s="370" t="s">
        <v>15</v>
      </c>
      <c r="CT18" s="370"/>
      <c r="CU18" s="371">
        <v>3</v>
      </c>
      <c r="CV18" s="371">
        <v>4</v>
      </c>
      <c r="CW18" s="370">
        <v>1</v>
      </c>
      <c r="CX18" s="494">
        <f>'FPS Pivot Table'!E28</f>
        <v>59.72</v>
      </c>
      <c r="CY18" s="661">
        <f t="shared" si="15"/>
        <v>62.11</v>
      </c>
      <c r="CZ18" s="158"/>
      <c r="DA18" s="313" t="str">
        <f t="shared" si="9"/>
        <v>134</v>
      </c>
      <c r="DB18" s="356">
        <v>43282</v>
      </c>
      <c r="DC18" s="356">
        <v>43282</v>
      </c>
      <c r="DD18" s="371" t="s">
        <v>375</v>
      </c>
      <c r="DE18" s="371"/>
      <c r="DF18" s="371">
        <v>3</v>
      </c>
      <c r="DG18" s="371">
        <v>4</v>
      </c>
      <c r="DH18" s="371">
        <v>1</v>
      </c>
      <c r="DI18" s="494">
        <f>'FPS Pivot Table'!F28</f>
        <v>94.89</v>
      </c>
      <c r="DJ18" s="244"/>
      <c r="DK18" s="313" t="str">
        <f t="shared" si="10"/>
        <v>134</v>
      </c>
      <c r="DL18" s="356">
        <v>43282</v>
      </c>
      <c r="DM18" s="356">
        <v>43282</v>
      </c>
      <c r="DN18" s="371" t="s">
        <v>375</v>
      </c>
      <c r="DO18" s="371"/>
      <c r="DP18" s="371">
        <v>3</v>
      </c>
      <c r="DQ18" s="371">
        <v>4</v>
      </c>
      <c r="DR18" s="371">
        <v>1</v>
      </c>
      <c r="DS18" s="494">
        <f>'FPS Pivot Table'!G28</f>
        <v>98.69</v>
      </c>
      <c r="DT18" s="661">
        <f t="shared" si="16"/>
        <v>102.64</v>
      </c>
      <c r="DU18" s="244"/>
      <c r="DV18" s="244"/>
      <c r="DW18" s="513" t="s">
        <v>706</v>
      </c>
      <c r="DX18" s="244"/>
      <c r="DY18" s="244"/>
      <c r="DZ18" s="228" t="str">
        <f t="shared" si="11"/>
        <v>CarrollSupported Employment</v>
      </c>
      <c r="EA18" s="516" t="s">
        <v>163</v>
      </c>
      <c r="EB18" s="463" t="s">
        <v>152</v>
      </c>
      <c r="EC18" s="229">
        <v>22.11</v>
      </c>
      <c r="ED18" s="462">
        <v>27.03</v>
      </c>
      <c r="EE18" s="536">
        <f>'FY24_PCI2_Rates.locked v3'!$Q$15</f>
        <v>30.36</v>
      </c>
      <c r="EF18" s="661">
        <f t="shared" si="17"/>
        <v>31.57</v>
      </c>
      <c r="EG18" s="536"/>
      <c r="EH18" s="228" t="str">
        <f t="shared" si="12"/>
        <v>CarrollResidential</v>
      </c>
      <c r="EI18" s="228" t="s">
        <v>163</v>
      </c>
      <c r="EJ18" s="168" t="s">
        <v>376</v>
      </c>
      <c r="EK18" s="229">
        <v>19.78</v>
      </c>
      <c r="EL18" s="466">
        <v>24.18</v>
      </c>
      <c r="EM18" s="539">
        <f>'FY24_PCI2_Rates.locked v3'!$Q$22</f>
        <v>27.15</v>
      </c>
      <c r="EN18" s="661">
        <f t="shared" si="18"/>
        <v>28.24</v>
      </c>
      <c r="EO18" s="244"/>
      <c r="EP18" s="230" t="str">
        <f>IF(EQ18="","",MAX(EP$2:EP17)+1)</f>
        <v/>
      </c>
      <c r="EQ18" s="244" t="str">
        <f>IF(ER18&lt;&gt;0,ER18,"")</f>
        <v/>
      </c>
      <c r="ER18" s="150" t="str">
        <f>IF(AND(Budget!$E$12="Self-Direction",Budget!$A$12="Community Supports Waiver"),Budget!EV18,IF(AND(Budget!$E$12="Traditional",Budget!$A$12="Community Supports Waiver"),Budget!EW18,IF(AND(Budget!$E$12="Self-Direction",Budget!$A$12="Family Supports Waiver"),Budget!EZ18,IF(AND(Budget!$E$12="Traditional",Budget!$A$12="Family Supports Waiver"),Budget!FA18,IF(AND(Budget!$E$12="Traditional",Budget!$A$12="Community Pathways Waiver"),Budget!EY18,IF(AND(Budget!$E$12="Self-Direction",Budget!$A$12="Community Pathways Waiver"),Budget!EX18,""))))))</f>
        <v/>
      </c>
      <c r="ES18" s="232" t="str">
        <f>IF(ISERROR(INDEX($EQ$3:$EQ$19,MATCH(ROW()-ROW($ES$2),$EP$3:$EP$19,0))),"",INDEX($EQ$3:$EQ$19,MATCH(ROW()-ROW($ES$2),$EP$3:$EP$24,0)))</f>
        <v/>
      </c>
      <c r="ET18" s="244"/>
      <c r="EU18" s="244"/>
      <c r="EV18" s="233" t="s">
        <v>111</v>
      </c>
      <c r="EW18" s="237" t="s">
        <v>116</v>
      </c>
      <c r="EX18" s="27" t="s">
        <v>101</v>
      </c>
      <c r="EY18" s="27" t="s">
        <v>106</v>
      </c>
      <c r="EZ18" s="18" t="s">
        <v>111</v>
      </c>
      <c r="FA18" s="27" t="s">
        <v>116</v>
      </c>
      <c r="FB18" s="77"/>
      <c r="FC18" s="230" t="str">
        <f>IF(FD18="","",MAX(FC$2:FC17)+1)</f>
        <v/>
      </c>
      <c r="FD18" s="231" t="str">
        <f t="shared" si="3"/>
        <v/>
      </c>
      <c r="FE18" s="231">
        <f>IF(AND(Budget!$E$12="Self-Direction",Budget!$A$12="Community Supports Waiver"),Budget!FI18,IF(AND(Budget!$E$12="Traditional",Budget!$A$12="Community Supports Waiver"),Budget!FL18,IF(AND(Budget!$E$12="Self-Direction",Budget!$A$12="Community Pathways Waiver"),Budget!FJ18,IF(AND(Budget!$E$12="Traditional",Budget!$A$12="Community Pathways Waiver"),FK18,))))</f>
        <v>0</v>
      </c>
      <c r="FF18" s="232" t="str">
        <f t="shared" si="4"/>
        <v/>
      </c>
      <c r="FG18" s="244"/>
      <c r="FH18" s="244"/>
      <c r="FI18" s="237"/>
      <c r="FJ18" s="27"/>
      <c r="FK18" s="27"/>
      <c r="FL18" s="27"/>
      <c r="FM18" s="77"/>
      <c r="FN18" s="230" t="str">
        <f>IF(FO18="","",MAX(FN$2:FN17)+1)</f>
        <v/>
      </c>
      <c r="FO18" s="231" t="str">
        <f t="shared" si="2"/>
        <v/>
      </c>
      <c r="FP18" s="43">
        <f>IF(AND(Budget!$E$12="Self-Direction",Budget!$A$12="Community Supports Waiver"),Budget!FU18,IF(AND(Budget!$E$12="Traditional",Budget!$A$12="Community Supports Waiver"),Budget!FU18,IF(AND(Budget!$E$12="Self-Direction",Budget!$A$12="Community Pathways Waiver"),Budget!FU18,IF(AND(Budget!$E$12="Traditional",Budget!$A$12="Community Pathways Waiver"),FU18,))))</f>
        <v>0</v>
      </c>
      <c r="FQ18" s="232" t="str">
        <f t="shared" si="5"/>
        <v/>
      </c>
      <c r="FR18" s="244"/>
      <c r="FS18" s="244"/>
      <c r="FT18" s="27"/>
      <c r="FU18" s="27"/>
      <c r="FV18" s="32"/>
      <c r="FW18" s="32"/>
      <c r="FX18" s="77"/>
    </row>
    <row r="19" spans="1:180" ht="14.4" customHeight="1" thickBot="1">
      <c r="A19" s="468">
        <f>IF(B19&lt;&gt;"",SUM($B$19:B19),"")</f>
        <v>1</v>
      </c>
      <c r="B19" s="468">
        <f t="shared" ref="B19:B25" si="19">IF(OR(D19="Individual and Family Directed Goods &amp; Services",D19="Personal Supports"),"",IF(D19&lt;&gt;"",1,""))</f>
        <v>1</v>
      </c>
      <c r="D19" s="78" t="s">
        <v>138</v>
      </c>
      <c r="E19" s="293"/>
      <c r="F19" s="133"/>
      <c r="G19" s="133"/>
      <c r="H19" s="277"/>
      <c r="I19" s="277"/>
      <c r="J19" s="127" t="str">
        <f>IF(ISERROR((IF($D19="","",VLOOKUP(CONCATENATE($E$12,$A$12,$D19),'Waiver Rate Table'!$B$8:$S$219,6,FALSE)))),"Unavailable",(IF($D19="","",VLOOKUP(CONCATENATE($E$12,$A$12,$D19),'Waiver Rate Table'!$B$8:$S$219,6,FALSE))))</f>
        <v>Unavailable</v>
      </c>
      <c r="K19" s="608" t="str">
        <f>IF(ISERROR(IF(OR($AI19="N/A",$AJ19="N/A",$E$14="",$K$17="",$AI19=0,$AJ19=0,$AI19="",$AJ19=""),"",VLOOKUP(CONCATENATE(VLOOKUP($I19,$AV$5:$AW$28,2,FALSE),$AI19,$AJ19),Budget!$CP$4:$CX$310,9)+(ROUND($AK$33,2)))),"",IF(OR($AI19="N/A",$AJ19="N/A",$E$14="",$K$17="",$AI19=0,$AJ19=0,$AI19="",$AJ19=""),"",VLOOKUP(CONCATENATE(VLOOKUP($I19,$AV$5:$AW$28,2,FALSE),$AI19,$AJ19),Budget!$CP$4:$CX$310,9)+(ROUND($AK$33,2))))</f>
        <v/>
      </c>
      <c r="L19" s="73">
        <v>250</v>
      </c>
      <c r="M19" s="172" cm="1">
        <f t="array" ref="M19">IF($D19="","",SUMPRODUCT('Add-On Tool'!$L$6:$L$14*('Add-On Tool'!$D$6:$D$14=Budget!$D19))+SUMPRODUCT('Add-On Tool'!$K$21:$K$29*('Add-On Tool'!$D$21:$D$29=Budget!$D19)))</f>
        <v>0</v>
      </c>
      <c r="N19" s="84" t="str">
        <f>IF(ISERROR(((K19*L19)+M19)),"",((K19*L19)+M19))</f>
        <v/>
      </c>
      <c r="O19" s="613" t="str">
        <f>IF(ISERROR(IF(OR($AI19="N/A",$AJ19="N/A",$E$14="",$O$17="",$AI19=0,$AJ19=0,$AI19="",$AJ19=""),"",(ROUND(VLOOKUP(CONCATENATE(VLOOKUP($I19,$AV$5:$AW$28,2,FALSE),$AI19,$AJ19),Budget!$CP$4:$CY$310,10),2))+(ROUND($AK$34,2)))),"",(IF(OR($AI19="N/A",$AJ19="N/A",$E$14="",$O$17="",$AI19=0,$AJ19=0,$AI19="",$AJ19=""),"",(ROUND(VLOOKUP(CONCATENATE(VLOOKUP($I19,$AV$5:$AW$28,2,FALSE),$AI19,$AJ19),Budget!$CP$4:$CY$310,10),2))+(ROUND($AK$34,2)))))</f>
        <v/>
      </c>
      <c r="P19" s="620">
        <v>62</v>
      </c>
      <c r="Q19" s="171">
        <f>IF($D19="","",SUMPRODUCT('Add-On Tool'!$O$6:$O$14*('Add-On Tool'!$D$6:$D$14=Budget!$D19))+SUMPRODUCT('Add-On Tool'!$N$21:$N$29*('Add-On Tool'!$D$21:$D$29=Budget!$D19)))</f>
        <v>0</v>
      </c>
      <c r="R19" s="260" t="str">
        <f t="shared" ref="R19:R25" si="20">IF(ISERROR(((O19*P19)+Q19)),"",((O19*P19)+Q19))</f>
        <v/>
      </c>
      <c r="S19" s="7"/>
      <c r="T19" s="7"/>
      <c r="U19" s="274"/>
      <c r="V19" s="7"/>
      <c r="W19" s="7"/>
      <c r="X19" s="7"/>
      <c r="Y19" s="7"/>
      <c r="Z19" s="7"/>
      <c r="AA19" s="7"/>
      <c r="AB19" s="7"/>
      <c r="AC19" s="7"/>
      <c r="AD19" s="7"/>
      <c r="AE19" s="473" t="str">
        <f>IF(AND(K$17&lt;&gt;"",$D19&lt;&gt;""),"x","")</f>
        <v/>
      </c>
      <c r="AF19" s="473" t="str">
        <f t="shared" ref="AF19:AF25" si="21">IF(AND(O$17&lt;&gt;"",$D19&lt;&gt;""),"x","")</f>
        <v/>
      </c>
      <c r="AG19" s="473" t="str">
        <f>IF(ISERROR((IF(AND(VLOOKUP(Budget!$D19,Budget!$AP$146:$AQ$152,2,FALSE)="x",$D19&lt;&gt;""),"x",""))),"",(IF(AND(VLOOKUP(Budget!$D19,Budget!$AP$146:$AQ$152,2,FALSE)="x",$D19&lt;&gt;""),"x","")))</f>
        <v>x</v>
      </c>
      <c r="AH19" s="473" t="str">
        <f>IF(ISERROR((VLOOKUP(D19,'Waiver Rate Table'!$C$8:$F$219,4,FALSE))),"",(VLOOKUP(D19,'Waiver Rate Table'!$C$8:$F$219,4,FALSE)))</f>
        <v>Employment</v>
      </c>
      <c r="AI19" s="473">
        <f t="shared" ref="AI19:AI25" si="22">IF(ISERROR((VLOOKUP(AH19,$I$6:$K$8,3,FALSE))),"",(VLOOKUP(AH19,$I$6:$K$8,3,FALSE)))</f>
        <v>0</v>
      </c>
      <c r="AJ19" s="473">
        <f t="shared" ref="AJ19:AJ26" si="23">IF(ISERROR((VLOOKUP(AH19,$I$6:$K$8,2,FALSE))),"",(VLOOKUP(AH19,$I$6:$K$8,2,FALSE)))</f>
        <v>0</v>
      </c>
      <c r="AK19" s="473" t="str">
        <f t="shared" ref="AK19:AK25" si="24">IF(AND(AM19="Day",L19&gt;$AG$15),"x","")</f>
        <v/>
      </c>
      <c r="AL19" s="473" t="str">
        <f t="shared" ref="AL19:AL25" si="25">IF(AND(AM19="Day",P19&gt;$AI$15),"x","")</f>
        <v/>
      </c>
      <c r="AM19" s="473" t="str">
        <f>IF(ISERROR((VLOOKUP(CONCATENATE($E$12,$A$12,$D19),'Waiver Rate Table'!$B$7:$S$219,7,FALSE))),"",(VLOOKUP(CONCATENATE($E$12,$A$12,$D19),'Waiver Rate Table'!$B$7:$S$219,7,FALSE)))</f>
        <v/>
      </c>
      <c r="AN19" s="551">
        <f t="shared" ref="AN19:AN25" si="26">IF(ISERROR(((K19*L19)+M19)/L19),0,((K19*L19)+M19)/L19)</f>
        <v>0</v>
      </c>
      <c r="AO19" s="551">
        <f t="shared" ref="AO19:AO25" si="27">IF(ISERROR(((O19*P19)+Q19)/P19),0,((O19*P19)+Q19)/P19)</f>
        <v>0</v>
      </c>
      <c r="AP19" s="475" t="s">
        <v>516</v>
      </c>
      <c r="AQ19" s="244"/>
      <c r="AR19" s="244"/>
      <c r="AS19" s="589" t="s">
        <v>450</v>
      </c>
      <c r="AT19" s="244"/>
      <c r="AU19" s="244"/>
      <c r="AV19" s="596" t="s">
        <v>174</v>
      </c>
      <c r="AW19" s="315">
        <v>3</v>
      </c>
      <c r="AX19" s="316">
        <v>14</v>
      </c>
      <c r="AY19" s="225" t="s">
        <v>0</v>
      </c>
      <c r="AZ19" s="244"/>
      <c r="BA19" s="244"/>
      <c r="BB19" s="317" t="str">
        <f t="shared" si="6"/>
        <v>226</v>
      </c>
      <c r="BC19" s="226" t="s">
        <v>13</v>
      </c>
      <c r="BD19" s="226" t="s">
        <v>14</v>
      </c>
      <c r="BE19" s="226" t="s">
        <v>26</v>
      </c>
      <c r="BF19" s="226" t="s">
        <v>29</v>
      </c>
      <c r="BG19" s="155">
        <v>27.13</v>
      </c>
      <c r="BH19" s="155">
        <v>25.43</v>
      </c>
      <c r="BI19" s="155">
        <v>20.39</v>
      </c>
      <c r="BJ19" s="227" t="s">
        <v>17</v>
      </c>
      <c r="BK19" s="226"/>
      <c r="BL19" s="317" t="str">
        <f t="shared" si="7"/>
        <v>223-24</v>
      </c>
      <c r="BM19" s="356">
        <v>43282</v>
      </c>
      <c r="BN19" s="356">
        <v>43282</v>
      </c>
      <c r="BO19" s="360" t="s">
        <v>26</v>
      </c>
      <c r="BP19" s="358" t="s">
        <v>2</v>
      </c>
      <c r="BQ19" s="400">
        <v>31.01</v>
      </c>
      <c r="BR19" s="400">
        <v>29.06</v>
      </c>
      <c r="BS19" s="400">
        <v>23.27</v>
      </c>
      <c r="BT19" s="359">
        <v>2</v>
      </c>
      <c r="BU19" s="42"/>
      <c r="BV19" s="317" t="str">
        <f t="shared" si="8"/>
        <v>223-24</v>
      </c>
      <c r="BW19" s="356">
        <v>43282</v>
      </c>
      <c r="BX19" s="356">
        <v>43282</v>
      </c>
      <c r="BY19" s="360" t="s">
        <v>26</v>
      </c>
      <c r="BZ19" s="358" t="s">
        <v>2</v>
      </c>
      <c r="CA19" s="448">
        <v>33.54</v>
      </c>
      <c r="CB19" s="448">
        <v>31.43</v>
      </c>
      <c r="CC19" s="448">
        <v>25.17</v>
      </c>
      <c r="CD19" s="359">
        <v>2</v>
      </c>
      <c r="CE19" s="226"/>
      <c r="CF19" s="313" t="str">
        <f t="shared" si="13"/>
        <v>135</v>
      </c>
      <c r="CG19" s="356">
        <v>43282</v>
      </c>
      <c r="CH19" s="356">
        <v>43282</v>
      </c>
      <c r="CI19" s="370" t="s">
        <v>15</v>
      </c>
      <c r="CJ19" s="370"/>
      <c r="CK19" s="371">
        <v>3</v>
      </c>
      <c r="CL19" s="371">
        <v>5</v>
      </c>
      <c r="CM19" s="370">
        <v>1</v>
      </c>
      <c r="CN19" s="494">
        <f>'FPS Pivot Table'!D29</f>
        <v>62.97</v>
      </c>
      <c r="CO19" s="158"/>
      <c r="CP19" s="313" t="str">
        <f t="shared" si="14"/>
        <v>135</v>
      </c>
      <c r="CQ19" s="356">
        <v>43282</v>
      </c>
      <c r="CR19" s="356">
        <v>43282</v>
      </c>
      <c r="CS19" s="370" t="s">
        <v>15</v>
      </c>
      <c r="CT19" s="370"/>
      <c r="CU19" s="371">
        <v>3</v>
      </c>
      <c r="CV19" s="371">
        <v>5</v>
      </c>
      <c r="CW19" s="370">
        <v>1</v>
      </c>
      <c r="CX19" s="494">
        <f>'FPS Pivot Table'!E29</f>
        <v>65.489999999999995</v>
      </c>
      <c r="CY19" s="661">
        <f t="shared" si="15"/>
        <v>68.11</v>
      </c>
      <c r="CZ19" s="158"/>
      <c r="DA19" s="313" t="str">
        <f t="shared" si="9"/>
        <v>135</v>
      </c>
      <c r="DB19" s="356">
        <v>43282</v>
      </c>
      <c r="DC19" s="356">
        <v>43282</v>
      </c>
      <c r="DD19" s="371" t="s">
        <v>375</v>
      </c>
      <c r="DE19" s="371"/>
      <c r="DF19" s="371">
        <v>3</v>
      </c>
      <c r="DG19" s="371">
        <v>5</v>
      </c>
      <c r="DH19" s="371">
        <v>1</v>
      </c>
      <c r="DI19" s="494">
        <f>'FPS Pivot Table'!F29</f>
        <v>99.8</v>
      </c>
      <c r="DJ19" s="244"/>
      <c r="DK19" s="313" t="str">
        <f t="shared" si="10"/>
        <v>135</v>
      </c>
      <c r="DL19" s="356">
        <v>43282</v>
      </c>
      <c r="DM19" s="356">
        <v>43282</v>
      </c>
      <c r="DN19" s="371" t="s">
        <v>375</v>
      </c>
      <c r="DO19" s="371"/>
      <c r="DP19" s="371">
        <v>3</v>
      </c>
      <c r="DQ19" s="371">
        <v>5</v>
      </c>
      <c r="DR19" s="371">
        <v>1</v>
      </c>
      <c r="DS19" s="494">
        <f>'FPS Pivot Table'!G29</f>
        <v>103.79</v>
      </c>
      <c r="DT19" s="661">
        <f t="shared" si="16"/>
        <v>107.94</v>
      </c>
      <c r="DU19" s="244"/>
      <c r="DV19" s="244"/>
      <c r="DW19" s="244"/>
      <c r="DX19" s="244"/>
      <c r="DY19" s="244"/>
      <c r="DZ19" s="423" t="str">
        <f t="shared" si="11"/>
        <v>CecilDay</v>
      </c>
      <c r="EA19" s="520" t="s">
        <v>180</v>
      </c>
      <c r="EB19" s="463" t="s">
        <v>134</v>
      </c>
      <c r="EC19" s="424">
        <v>23.16</v>
      </c>
      <c r="ED19" s="462">
        <v>28.31</v>
      </c>
      <c r="EE19" s="536">
        <f>'FY24_PCI2_Rates.locked v3'!$Q$19</f>
        <v>31.8</v>
      </c>
      <c r="EF19" s="661">
        <f t="shared" si="17"/>
        <v>33.07</v>
      </c>
      <c r="EG19" s="536"/>
      <c r="EH19" s="228" t="str">
        <f t="shared" si="12"/>
        <v>CecilResidential</v>
      </c>
      <c r="EI19" s="228" t="s">
        <v>180</v>
      </c>
      <c r="EJ19" s="168" t="s">
        <v>376</v>
      </c>
      <c r="EK19" s="229">
        <v>20.82</v>
      </c>
      <c r="EL19" s="466">
        <v>25.45</v>
      </c>
      <c r="EM19" s="539">
        <f>'FY24_PCI2_Rates.locked v3'!$Q$26</f>
        <v>28.58</v>
      </c>
      <c r="EN19" s="661">
        <f t="shared" si="18"/>
        <v>29.72</v>
      </c>
      <c r="EO19" s="244"/>
      <c r="EP19" s="230" t="str">
        <f>IF(EQ19="","",MAX(EP$2:EP18)+1)</f>
        <v/>
      </c>
      <c r="EQ19" s="244" t="str">
        <f t="shared" ref="EQ19:EQ28" si="28">IF(ER19&lt;&gt;0,ER19,"")</f>
        <v/>
      </c>
      <c r="ER19" s="150" t="str">
        <f>IF(AND(Budget!$E$12="Self-Direction",Budget!$A$12="Community Supports Waiver"),Budget!EV19,IF(AND(Budget!$E$12="Traditional",Budget!$A$12="Community Supports Waiver"),Budget!EW19,IF(AND(Budget!$E$12="Self-Direction",Budget!$A$12="Family Supports Waiver"),Budget!EZ19,IF(AND(Budget!$E$12="Traditional",Budget!$A$12="Family Supports Waiver"),Budget!FA19,IF(AND(Budget!$E$12="Traditional",Budget!$A$12="Community Pathways Waiver"),Budget!EY19,IF(AND(Budget!$E$12="Self-Direction",Budget!$A$12="Community Pathways Waiver"),Budget!EX19,""))))))</f>
        <v/>
      </c>
      <c r="ES19" s="232" t="str">
        <f>IF(ISERROR(INDEX($EQ$3:$EQ$19,MATCH(ROW()-ROW($ES$2),$EP$3:$EP$19,0))),"",INDEX($EQ$3:$EQ$19,MATCH(ROW()-ROW($ES$2),$EP$3:$EP$24,0)))</f>
        <v/>
      </c>
      <c r="ET19" s="244"/>
      <c r="EU19" s="244"/>
      <c r="EV19" s="58" t="s">
        <v>126</v>
      </c>
      <c r="EW19" s="233" t="s">
        <v>121</v>
      </c>
      <c r="EX19" s="18" t="s">
        <v>106</v>
      </c>
      <c r="EY19" s="18" t="s">
        <v>111</v>
      </c>
      <c r="EZ19" s="27" t="s">
        <v>126</v>
      </c>
      <c r="FA19" s="18" t="s">
        <v>121</v>
      </c>
      <c r="FB19" s="77"/>
      <c r="FC19" s="230" t="str">
        <f>IF(FD19="","",MAX(FC$2:FC18)+1)</f>
        <v/>
      </c>
      <c r="FD19" s="231" t="str">
        <f t="shared" si="3"/>
        <v/>
      </c>
      <c r="FE19" s="231">
        <f>IF(AND(Budget!$E$12="Self-Direction",Budget!$A$12="Community Supports Waiver"),Budget!FI19,IF(AND(Budget!$E$12="Traditional",Budget!$A$12="Community Supports Waiver"),Budget!FL19,IF(AND(Budget!$E$12="Self-Direction",Budget!$A$12="Community Pathways Waiver"),Budget!FJ19,IF(AND(Budget!$E$12="Traditional",Budget!$A$12="Community Pathways Waiver"),FK19,))))</f>
        <v>0</v>
      </c>
      <c r="FF19" s="232" t="str">
        <f t="shared" si="4"/>
        <v/>
      </c>
      <c r="FG19" s="244"/>
      <c r="FH19" s="244"/>
      <c r="FI19" s="233"/>
      <c r="FJ19" s="18"/>
      <c r="FK19" s="18"/>
      <c r="FL19" s="18"/>
      <c r="FM19" s="77"/>
      <c r="FN19" s="230" t="str">
        <f>IF(FO19="","",MAX(FN$2:FN18)+1)</f>
        <v/>
      </c>
      <c r="FO19" s="231" t="str">
        <f t="shared" si="2"/>
        <v/>
      </c>
      <c r="FP19" s="43">
        <f>IF(AND(Budget!$E$12="Self-Direction",Budget!$A$12="Community Supports Waiver"),Budget!FU19,IF(AND(Budget!$E$12="Traditional",Budget!$A$12="Community Supports Waiver"),Budget!FU19,IF(AND(Budget!$E$12="Self-Direction",Budget!$A$12="Community Pathways Waiver"),Budget!FU19,IF(AND(Budget!$E$12="Traditional",Budget!$A$12="Community Pathways Waiver"),FU19,))))</f>
        <v>0</v>
      </c>
      <c r="FQ19" s="232" t="str">
        <f t="shared" si="5"/>
        <v/>
      </c>
      <c r="FR19" s="244"/>
      <c r="FS19" s="244"/>
      <c r="FT19" s="18"/>
      <c r="FU19" s="18"/>
      <c r="FV19" s="32"/>
      <c r="FW19" s="32"/>
      <c r="FX19" s="77"/>
    </row>
    <row r="20" spans="1:180" ht="14.4" customHeight="1" thickBot="1">
      <c r="A20" s="468">
        <f>IF(B20&lt;&gt;"",SUM($B$19:B20),"")</f>
        <v>2</v>
      </c>
      <c r="B20" s="468">
        <f t="shared" si="19"/>
        <v>1</v>
      </c>
      <c r="D20" s="14" t="s">
        <v>136</v>
      </c>
      <c r="E20" s="289"/>
      <c r="F20" s="133"/>
      <c r="G20" s="133"/>
      <c r="H20" s="207"/>
      <c r="I20" s="207"/>
      <c r="J20" s="127" t="str">
        <f>IF(ISERROR((IF($D20="","",VLOOKUP(CONCATENATE($E$12,$A$12,$D20),'Waiver Rate Table'!$B$8:$S$219,6,FALSE)))),"Unavailable",(IF($D20="","",VLOOKUP(CONCATENATE($E$12,$A$12,$D20),'Waiver Rate Table'!$B$8:$S$219,6,FALSE))))</f>
        <v>Unavailable</v>
      </c>
      <c r="K20" s="658" t="str">
        <f>IF(ISERROR(IF(OR($AI20="N/A",$AJ20="N/A",$E$14="",$K$17="",$AI20=0,$AJ20=0,$AI20="",$AJ20=""),"",VLOOKUP(CONCATENATE(VLOOKUP($I20,$AV$5:$AW$28,2,FALSE),$AI20,$AJ20),Budget!$CP$4:$CX$310,9)+(ROUND($AK$33,2)))),"",IF(OR($AI20="N/A",$AJ20="N/A",$E$14="",$K$17="",$AI20=0,$AJ20=0,$AI20="",$AJ20=""),"",VLOOKUP(CONCATENATE(VLOOKUP($I20,$AV$5:$AW$28,2,FALSE),$AI20,$AJ20),Budget!$CP$4:$CX$310,9)+(ROUND($AK$33,2))))</f>
        <v/>
      </c>
      <c r="L20" s="73">
        <v>250</v>
      </c>
      <c r="M20" s="172">
        <f>IF($D20="","",SUMPRODUCT('Add-On Tool'!$L$6:$L$14*('Add-On Tool'!$D$6:$D$14=Budget!$D20))+SUMPRODUCT('Add-On Tool'!$K$21:$K$29*('Add-On Tool'!$D$21:$D$29=Budget!$D20)))</f>
        <v>0</v>
      </c>
      <c r="N20" s="84" t="str">
        <f t="shared" ref="N20:N25" si="29">IF(ISERROR(((K20*L20)+M20)),"",((K20*L20)+M20))</f>
        <v/>
      </c>
      <c r="O20" s="84" t="str">
        <f>IF(ISERROR(IF(OR($AI20="N/A",$AJ20="N/A",$E$14="",$O$17="",$AI20=0,$AJ20=0,$AI20="",$AJ20=""),"",(ROUND(VLOOKUP(CONCATENATE(VLOOKUP($I20,$AV$5:$AW$28,2,FALSE),$AI20,$AJ20),Budget!$CP$4:$CY$310,10),2))+(ROUND($AK$34,2)))),"",(IF(OR($AI20="N/A",$AJ20="N/A",$E$14="",$O$17="",$AI20=0,$AJ20=0,$AI20="",$AJ20=""),"",(ROUND(VLOOKUP(CONCATENATE(VLOOKUP($I20,$AV$5:$AW$28,2,FALSE),$AI20,$AJ20),Budget!$CP$4:$CY$310,10),2))+(ROUND($AK$34,2)))))</f>
        <v/>
      </c>
      <c r="P20" s="73">
        <v>62</v>
      </c>
      <c r="Q20" s="172">
        <f>IF($D20="","",SUMPRODUCT('Add-On Tool'!$O$6:$O$14*('Add-On Tool'!$D$6:$D$14=Budget!$D20))+SUMPRODUCT('Add-On Tool'!$N$21:$N$29*('Add-On Tool'!$D$21:$D$29=Budget!$D20)))</f>
        <v>0</v>
      </c>
      <c r="R20" s="68" t="str">
        <f t="shared" si="20"/>
        <v/>
      </c>
      <c r="S20" s="7"/>
      <c r="T20" s="7"/>
      <c r="U20" s="7"/>
      <c r="V20" s="7"/>
      <c r="W20" s="7"/>
      <c r="X20" s="7"/>
      <c r="Y20" s="7"/>
      <c r="Z20" s="7"/>
      <c r="AA20" s="7"/>
      <c r="AB20" s="7"/>
      <c r="AC20" s="7"/>
      <c r="AD20" s="7"/>
      <c r="AE20" s="473" t="str">
        <f t="shared" ref="AE20:AE25" si="30">IF(AND(K$17&lt;&gt;"",$D20&lt;&gt;""),"x","")</f>
        <v/>
      </c>
      <c r="AF20" s="473" t="str">
        <f t="shared" si="21"/>
        <v/>
      </c>
      <c r="AG20" s="473" t="str">
        <f>IF(ISERROR((IF(AND(VLOOKUP(Budget!$D20,Budget!$AP$146:$AQ$152,2,FALSE)="x",$D20&lt;&gt;""),"x",""))),"",(IF(AND(VLOOKUP(Budget!$D20,Budget!$AP$146:$AQ$152,2,FALSE)="x",$D20&lt;&gt;""),"x","")))</f>
        <v/>
      </c>
      <c r="AH20" s="473" t="str">
        <f>IF(ISERROR((VLOOKUP(D20,'Waiver Rate Table'!$C$8:$F$219,4,FALSE))),"",(VLOOKUP(D20,'Waiver Rate Table'!$C$8:$F$219,4,FALSE)))</f>
        <v>Day Services</v>
      </c>
      <c r="AI20" s="473">
        <f t="shared" si="22"/>
        <v>0</v>
      </c>
      <c r="AJ20" s="473">
        <f t="shared" si="23"/>
        <v>0</v>
      </c>
      <c r="AK20" s="473" t="str">
        <f t="shared" si="24"/>
        <v/>
      </c>
      <c r="AL20" s="473" t="str">
        <f t="shared" si="25"/>
        <v/>
      </c>
      <c r="AM20" s="473" t="str">
        <f>IF(ISERROR((VLOOKUP(CONCATENATE($E$12,$A$12,$D20),'Waiver Rate Table'!$B$7:$S$219,7,FALSE))),"",(VLOOKUP(CONCATENATE($E$12,$A$12,$D20),'Waiver Rate Table'!$B$7:$S$219,7,FALSE)))</f>
        <v/>
      </c>
      <c r="AN20" s="551">
        <f t="shared" si="26"/>
        <v>0</v>
      </c>
      <c r="AO20" s="551">
        <f t="shared" si="27"/>
        <v>0</v>
      </c>
      <c r="AP20" s="319" t="s">
        <v>131</v>
      </c>
      <c r="AQ20" s="324"/>
      <c r="AR20" s="244"/>
      <c r="AS20" s="244"/>
      <c r="AT20" s="244"/>
      <c r="AU20" s="244"/>
      <c r="AV20" s="596" t="s">
        <v>168</v>
      </c>
      <c r="AW20" s="315">
        <v>2</v>
      </c>
      <c r="AX20" s="316">
        <v>15</v>
      </c>
      <c r="AY20" s="225" t="s">
        <v>0</v>
      </c>
      <c r="AZ20" s="244"/>
      <c r="BA20" s="244"/>
      <c r="BB20" s="317" t="str">
        <f t="shared" si="6"/>
        <v>227</v>
      </c>
      <c r="BC20" s="226" t="s">
        <v>13</v>
      </c>
      <c r="BD20" s="226" t="s">
        <v>14</v>
      </c>
      <c r="BE20" s="226" t="s">
        <v>26</v>
      </c>
      <c r="BF20" s="226" t="s">
        <v>30</v>
      </c>
      <c r="BG20" s="155">
        <v>26.33</v>
      </c>
      <c r="BH20" s="155">
        <v>24.67</v>
      </c>
      <c r="BI20" s="155">
        <v>19.760000000000002</v>
      </c>
      <c r="BJ20" s="227" t="s">
        <v>17</v>
      </c>
      <c r="BK20" s="226"/>
      <c r="BL20" s="317" t="str">
        <f t="shared" si="7"/>
        <v>220-22</v>
      </c>
      <c r="BM20" s="356">
        <v>43282</v>
      </c>
      <c r="BN20" s="356">
        <v>43282</v>
      </c>
      <c r="BO20" s="360" t="s">
        <v>26</v>
      </c>
      <c r="BP20" s="358" t="s">
        <v>1</v>
      </c>
      <c r="BQ20" s="400">
        <v>32.08</v>
      </c>
      <c r="BR20" s="400">
        <v>30.08</v>
      </c>
      <c r="BS20" s="400">
        <v>24.1</v>
      </c>
      <c r="BT20" s="359">
        <v>2</v>
      </c>
      <c r="BU20" s="42"/>
      <c r="BV20" s="317" t="str">
        <f t="shared" si="8"/>
        <v>220-22</v>
      </c>
      <c r="BW20" s="356">
        <v>43282</v>
      </c>
      <c r="BX20" s="356">
        <v>43282</v>
      </c>
      <c r="BY20" s="360" t="s">
        <v>26</v>
      </c>
      <c r="BZ20" s="358" t="s">
        <v>1</v>
      </c>
      <c r="CA20" s="448">
        <v>34.700000000000003</v>
      </c>
      <c r="CB20" s="448">
        <v>32.53</v>
      </c>
      <c r="CC20" s="448">
        <v>26.06</v>
      </c>
      <c r="CD20" s="359">
        <v>2</v>
      </c>
      <c r="CE20" s="226"/>
      <c r="CF20" s="313" t="str">
        <f t="shared" si="13"/>
        <v>141</v>
      </c>
      <c r="CG20" s="356">
        <v>43282</v>
      </c>
      <c r="CH20" s="356">
        <v>43282</v>
      </c>
      <c r="CI20" s="370" t="s">
        <v>15</v>
      </c>
      <c r="CJ20" s="370"/>
      <c r="CK20" s="371">
        <v>4</v>
      </c>
      <c r="CL20" s="371">
        <v>1</v>
      </c>
      <c r="CM20" s="370">
        <v>1</v>
      </c>
      <c r="CN20" s="494">
        <f>'FPS Pivot Table'!D30</f>
        <v>54.37</v>
      </c>
      <c r="CO20" s="158"/>
      <c r="CP20" s="313" t="str">
        <f t="shared" si="14"/>
        <v>141</v>
      </c>
      <c r="CQ20" s="356">
        <v>43282</v>
      </c>
      <c r="CR20" s="356">
        <v>43282</v>
      </c>
      <c r="CS20" s="370" t="s">
        <v>15</v>
      </c>
      <c r="CT20" s="370"/>
      <c r="CU20" s="371">
        <v>4</v>
      </c>
      <c r="CV20" s="371">
        <v>1</v>
      </c>
      <c r="CW20" s="370">
        <v>1</v>
      </c>
      <c r="CX20" s="494">
        <f>'FPS Pivot Table'!E30</f>
        <v>56.54</v>
      </c>
      <c r="CY20" s="661">
        <f t="shared" si="15"/>
        <v>58.8</v>
      </c>
      <c r="CZ20" s="158"/>
      <c r="DA20" s="313" t="str">
        <f t="shared" si="9"/>
        <v>141</v>
      </c>
      <c r="DB20" s="356">
        <v>43282</v>
      </c>
      <c r="DC20" s="356">
        <v>43282</v>
      </c>
      <c r="DD20" s="371" t="s">
        <v>375</v>
      </c>
      <c r="DE20" s="371"/>
      <c r="DF20" s="371">
        <v>4</v>
      </c>
      <c r="DG20" s="371">
        <v>1</v>
      </c>
      <c r="DH20" s="371">
        <v>1</v>
      </c>
      <c r="DI20" s="494">
        <f>'FPS Pivot Table'!F30</f>
        <v>134.03</v>
      </c>
      <c r="DJ20" s="244"/>
      <c r="DK20" s="313" t="str">
        <f t="shared" si="10"/>
        <v>141</v>
      </c>
      <c r="DL20" s="356">
        <v>43282</v>
      </c>
      <c r="DM20" s="356">
        <v>43282</v>
      </c>
      <c r="DN20" s="371" t="s">
        <v>375</v>
      </c>
      <c r="DO20" s="371"/>
      <c r="DP20" s="371">
        <v>4</v>
      </c>
      <c r="DQ20" s="371">
        <v>1</v>
      </c>
      <c r="DR20" s="371">
        <v>1</v>
      </c>
      <c r="DS20" s="494">
        <f>'FPS Pivot Table'!G30</f>
        <v>139.38999999999999</v>
      </c>
      <c r="DT20" s="661">
        <f t="shared" si="16"/>
        <v>144.97</v>
      </c>
      <c r="DU20" s="244"/>
      <c r="DV20" s="244"/>
      <c r="DW20" s="244"/>
      <c r="DX20" s="244"/>
      <c r="DY20" s="244"/>
      <c r="DZ20" s="423" t="str">
        <f t="shared" si="11"/>
        <v>CecilSupported Employment</v>
      </c>
      <c r="EA20" s="520" t="s">
        <v>180</v>
      </c>
      <c r="EB20" s="463" t="s">
        <v>152</v>
      </c>
      <c r="EC20" s="424">
        <v>23.16</v>
      </c>
      <c r="ED20" s="462">
        <v>28.31</v>
      </c>
      <c r="EE20" s="536">
        <f>'FY24_PCI2_Rates.locked v3'!$Q$19</f>
        <v>31.8</v>
      </c>
      <c r="EF20" s="661">
        <f t="shared" si="17"/>
        <v>33.07</v>
      </c>
      <c r="EG20" s="536"/>
      <c r="EH20" s="228" t="str">
        <f t="shared" si="12"/>
        <v>CecilResidential</v>
      </c>
      <c r="EI20" s="228" t="s">
        <v>180</v>
      </c>
      <c r="EJ20" s="168" t="s">
        <v>376</v>
      </c>
      <c r="EK20" s="229">
        <v>20.82</v>
      </c>
      <c r="EL20" s="466">
        <v>25.45</v>
      </c>
      <c r="EM20" s="539">
        <f>'FY24_PCI2_Rates.locked v3'!$Q$26</f>
        <v>28.58</v>
      </c>
      <c r="EN20" s="661">
        <f t="shared" si="18"/>
        <v>29.72</v>
      </c>
      <c r="EO20" s="244"/>
      <c r="EP20" s="230" t="str">
        <f>IF(EQ20="","",MAX(EP$2:EP19)+1)</f>
        <v/>
      </c>
      <c r="EQ20" s="244" t="str">
        <f t="shared" si="28"/>
        <v/>
      </c>
      <c r="ER20" s="150" t="str">
        <f>IF(AND(Budget!$E$12="Self-Direction",Budget!$A$12="Community Supports Waiver"),Budget!EV20,IF(AND(Budget!$E$12="Traditional",Budget!$A$12="Community Supports Waiver"),Budget!EW20,IF(AND(Budget!$E$12="Self-Direction",Budget!$A$12="Family Supports Waiver"),Budget!EZ20,IF(AND(Budget!$E$12="Traditional",Budget!$A$12="Family Supports Waiver"),Budget!FA20,IF(AND(Budget!$E$12="Traditional",Budget!$A$12="Community Pathways Waiver"),Budget!EY20,IF(AND(Budget!$E$12="Self-Direction",Budget!$A$12="Community Pathways Waiver"),Budget!EX20,""))))))</f>
        <v/>
      </c>
      <c r="ES20" s="232" t="str">
        <f>IF(ISERROR(INDEX($EQ$3:$EQ$24,MATCH(ROW()-ROW($ES$2),$EP$3:$EP$24,0))),"",INDEX($EQ$3:$EQ$24,MATCH(ROW()-ROW($ES$2),$EP$3:$EP$24,0)))</f>
        <v/>
      </c>
      <c r="ET20" s="244"/>
      <c r="EU20" s="244"/>
      <c r="EV20" s="59" t="s">
        <v>116</v>
      </c>
      <c r="EW20" s="233"/>
      <c r="EX20" s="27" t="s">
        <v>111</v>
      </c>
      <c r="EY20" s="27" t="s">
        <v>366</v>
      </c>
      <c r="EZ20" s="27" t="s">
        <v>116</v>
      </c>
      <c r="FA20" s="18"/>
      <c r="FB20" s="77"/>
      <c r="FC20" s="230" t="str">
        <f>IF(FD20="","",MAX(FC$2:FC19)+1)</f>
        <v/>
      </c>
      <c r="FD20" s="231" t="str">
        <f t="shared" si="3"/>
        <v/>
      </c>
      <c r="FE20" s="231">
        <f>IF(AND(Budget!$E$12="Self-Direction",Budget!$A$12="Community Supports Waiver"),Budget!FI20,IF(AND(Budget!$E$12="Traditional",Budget!$A$12="Community Supports Waiver"),Budget!FL20,IF(AND(Budget!$E$12="Self-Direction",Budget!$A$12="Community Pathways Waiver"),Budget!FJ20,IF(AND(Budget!$E$12="Traditional",Budget!$A$12="Community Pathways Waiver"),FK20,))))</f>
        <v>0</v>
      </c>
      <c r="FF20" s="232" t="str">
        <f t="shared" si="4"/>
        <v/>
      </c>
      <c r="FG20" s="244"/>
      <c r="FH20" s="244"/>
      <c r="FI20" s="237"/>
      <c r="FJ20" s="27"/>
      <c r="FK20" s="27"/>
      <c r="FL20" s="27"/>
      <c r="FM20" s="77"/>
      <c r="FN20" s="230" t="str">
        <f>IF(FO20="","",MAX(FN$2:FN19)+1)</f>
        <v/>
      </c>
      <c r="FO20" s="231" t="str">
        <f t="shared" si="2"/>
        <v/>
      </c>
      <c r="FP20" s="43">
        <f>IF(AND(Budget!$E$12="Self-Direction",Budget!$A$12="Community Supports Waiver"),Budget!FU20,IF(AND(Budget!$E$12="Traditional",Budget!$A$12="Community Supports Waiver"),Budget!FU20,IF(AND(Budget!$E$12="Self-Direction",Budget!$A$12="Community Pathways Waiver"),Budget!FU20,IF(AND(Budget!$E$12="Traditional",Budget!$A$12="Community Pathways Waiver"),FU20,))))</f>
        <v>0</v>
      </c>
      <c r="FQ20" s="232" t="str">
        <f t="shared" si="5"/>
        <v/>
      </c>
      <c r="FR20" s="244"/>
      <c r="FS20" s="244"/>
      <c r="FT20" s="27"/>
      <c r="FU20" s="27"/>
      <c r="FV20" s="32"/>
      <c r="FW20" s="32"/>
      <c r="FX20" s="77"/>
    </row>
    <row r="21" spans="1:180" ht="14.4" customHeight="1" thickBot="1">
      <c r="A21" s="468">
        <f>IF(B21&lt;&gt;"",SUM($B$19:B21),"")</f>
        <v>3</v>
      </c>
      <c r="B21" s="468">
        <f t="shared" si="19"/>
        <v>1</v>
      </c>
      <c r="D21" s="14" t="s">
        <v>137</v>
      </c>
      <c r="E21" s="289"/>
      <c r="F21" s="133"/>
      <c r="G21" s="133"/>
      <c r="H21" s="207"/>
      <c r="I21" s="207"/>
      <c r="J21" s="127" t="str">
        <f>IF(ISERROR((IF($D21="","",VLOOKUP(CONCATENATE($E$12,$A$12,$D21),'Waiver Rate Table'!$B$8:$S$219,6,FALSE)))),"Unavailable",(IF($D21="","",VLOOKUP(CONCATENATE($E$12,$A$12,$D21),'Waiver Rate Table'!$B$8:$S$219,6,FALSE))))</f>
        <v>Unavailable</v>
      </c>
      <c r="K21" s="658" t="str">
        <f>IF(ISERROR(IF(OR($AI21="N/A",$AJ21="N/A",$E$14="",$K$17="",$AI21=0,$AJ21=0,$AI21="",$AJ21=""),"",VLOOKUP(CONCATENATE(VLOOKUP($I21,$AV$5:$AW$28,2,FALSE),$AI21,$AJ21),Budget!$CP$4:$CX$310,9)+(ROUND($AK$33,2)))),"",IF(OR($AI21="N/A",$AJ21="N/A",$E$14="",$K$17="",$AI21=0,$AJ21=0,$AI21="",$AJ21=""),"",VLOOKUP(CONCATENATE(VLOOKUP($I21,$AV$5:$AW$28,2,FALSE),$AI21,$AJ21),Budget!$CP$4:$CX$310,9)+(ROUND($AK$33,2))))</f>
        <v/>
      </c>
      <c r="L21" s="73">
        <v>260</v>
      </c>
      <c r="M21" s="172">
        <f>IF($D21="","",SUMPRODUCT('Add-On Tool'!$L$6:$L$14*('Add-On Tool'!$D$6:$D$14=Budget!$D21))+SUMPRODUCT('Add-On Tool'!$K$21:$K$29*('Add-On Tool'!$D$21:$D$29=Budget!$D21)))</f>
        <v>0</v>
      </c>
      <c r="N21" s="84" t="str">
        <f t="shared" si="29"/>
        <v/>
      </c>
      <c r="O21" s="84" t="str">
        <f>IF(ISERROR(IF(OR($AI21="N/A",$AJ21="N/A",$E$14="",$O$17="",$AI21=0,$AJ21=0,$AI21="",$AJ21=""),"",(ROUND(VLOOKUP(CONCATENATE(VLOOKUP($I21,$AV$5:$AW$28,2,FALSE),$AI21,$AJ21),Budget!$CP$4:$CY$310,10),2))+(ROUND($AK$34,2)))),"",(IF(OR($AI21="N/A",$AJ21="N/A",$E$14="",$O$17="",$AI21=0,$AJ21=0,$AI21="",$AJ21=""),"",(ROUND(VLOOKUP(CONCATENATE(VLOOKUP($I21,$AV$5:$AW$28,2,FALSE),$AI21,$AJ21),Budget!$CP$4:$CY$310,10),2))+(ROUND($AK$34,2)))))</f>
        <v/>
      </c>
      <c r="P21" s="73">
        <v>62</v>
      </c>
      <c r="Q21" s="172">
        <f>IF($D21="","",SUMPRODUCT('Add-On Tool'!$O$6:$O$14*('Add-On Tool'!$D$6:$D$14=Budget!$D21))+SUMPRODUCT('Add-On Tool'!$N$21:$N$29*('Add-On Tool'!$D$21:$D$29=Budget!$D21)))</f>
        <v>0</v>
      </c>
      <c r="R21" s="68" t="str">
        <f t="shared" si="20"/>
        <v/>
      </c>
      <c r="S21" s="7"/>
      <c r="T21" s="7"/>
      <c r="U21" s="7"/>
      <c r="V21" s="7"/>
      <c r="W21" s="7"/>
      <c r="X21" s="7"/>
      <c r="Y21" s="7"/>
      <c r="Z21" s="7"/>
      <c r="AA21" s="7"/>
      <c r="AB21" s="7"/>
      <c r="AC21" s="7"/>
      <c r="AD21" s="7"/>
      <c r="AE21" s="473" t="str">
        <f t="shared" si="30"/>
        <v/>
      </c>
      <c r="AF21" s="473" t="str">
        <f t="shared" si="21"/>
        <v/>
      </c>
      <c r="AG21" s="473" t="str">
        <f>IF(ISERROR((IF(AND(VLOOKUP(Budget!$D21,Budget!$AP$146:$AQ$152,2,FALSE)="x",$D21&lt;&gt;""),"x",""))),"",(IF(AND(VLOOKUP(Budget!$D21,Budget!$AP$146:$AQ$152,2,FALSE)="x",$D21&lt;&gt;""),"x","")))</f>
        <v>x</v>
      </c>
      <c r="AH21" s="473" t="str">
        <f>IF(ISERROR((VLOOKUP(D21,'Waiver Rate Table'!$C$8:$F$219,4,FALSE))),"",(VLOOKUP(D21,'Waiver Rate Table'!$C$8:$F$219,4,FALSE)))</f>
        <v>Day Services</v>
      </c>
      <c r="AI21" s="473">
        <f t="shared" si="22"/>
        <v>0</v>
      </c>
      <c r="AJ21" s="473">
        <f t="shared" si="23"/>
        <v>0</v>
      </c>
      <c r="AK21" s="473" t="str">
        <f t="shared" si="24"/>
        <v/>
      </c>
      <c r="AL21" s="473" t="str">
        <f t="shared" si="25"/>
        <v/>
      </c>
      <c r="AM21" s="473" t="str">
        <f>IF(ISERROR((VLOOKUP(CONCATENATE($E$12,$A$12,$D21),'Waiver Rate Table'!$B$7:$S$219,7,FALSE))),"",(VLOOKUP(CONCATENATE($E$12,$A$12,$D21),'Waiver Rate Table'!$B$7:$S$219,7,FALSE)))</f>
        <v/>
      </c>
      <c r="AN21" s="551">
        <f t="shared" si="26"/>
        <v>0</v>
      </c>
      <c r="AO21" s="551">
        <f t="shared" si="27"/>
        <v>0</v>
      </c>
      <c r="AP21" s="325" t="s">
        <v>206</v>
      </c>
      <c r="AQ21" s="244"/>
      <c r="AR21" s="244"/>
      <c r="AS21" s="244"/>
      <c r="AT21" s="244"/>
      <c r="AU21" s="244"/>
      <c r="AV21" s="596" t="s">
        <v>167</v>
      </c>
      <c r="AW21" s="315">
        <v>2</v>
      </c>
      <c r="AX21" s="316">
        <v>16</v>
      </c>
      <c r="AY21" s="225" t="s">
        <v>0</v>
      </c>
      <c r="AZ21" s="244"/>
      <c r="BA21" s="244"/>
      <c r="BB21" s="317" t="str">
        <f t="shared" si="6"/>
        <v>228-82</v>
      </c>
      <c r="BC21" s="226" t="s">
        <v>13</v>
      </c>
      <c r="BD21" s="226" t="s">
        <v>14</v>
      </c>
      <c r="BE21" s="226" t="s">
        <v>26</v>
      </c>
      <c r="BF21" s="226" t="s">
        <v>3</v>
      </c>
      <c r="BG21" s="155">
        <v>25.94</v>
      </c>
      <c r="BH21" s="155">
        <v>24.31</v>
      </c>
      <c r="BI21" s="155">
        <v>19.489999999999998</v>
      </c>
      <c r="BJ21" s="227" t="s">
        <v>17</v>
      </c>
      <c r="BK21" s="226"/>
      <c r="BL21" s="317" t="str">
        <f t="shared" si="7"/>
        <v>21-19</v>
      </c>
      <c r="BM21" s="356">
        <v>43282</v>
      </c>
      <c r="BN21" s="356">
        <v>43282</v>
      </c>
      <c r="BO21" s="360" t="s">
        <v>26</v>
      </c>
      <c r="BP21" s="358" t="s">
        <v>0</v>
      </c>
      <c r="BQ21" s="400">
        <v>33.549999999999997</v>
      </c>
      <c r="BR21" s="400">
        <v>31.22</v>
      </c>
      <c r="BS21" s="400">
        <v>25.01</v>
      </c>
      <c r="BT21" s="359">
        <v>2</v>
      </c>
      <c r="BU21" s="42"/>
      <c r="BV21" s="317" t="str">
        <f t="shared" si="8"/>
        <v>21-19</v>
      </c>
      <c r="BW21" s="356">
        <v>43282</v>
      </c>
      <c r="BX21" s="356">
        <v>43282</v>
      </c>
      <c r="BY21" s="360" t="s">
        <v>26</v>
      </c>
      <c r="BZ21" s="358" t="s">
        <v>0</v>
      </c>
      <c r="CA21" s="448">
        <v>36.299999999999997</v>
      </c>
      <c r="CB21" s="448">
        <v>33.76</v>
      </c>
      <c r="CC21" s="448">
        <v>27.06</v>
      </c>
      <c r="CD21" s="359">
        <v>2</v>
      </c>
      <c r="CE21" s="226"/>
      <c r="CF21" s="313" t="str">
        <f t="shared" si="13"/>
        <v>142</v>
      </c>
      <c r="CG21" s="356">
        <v>43282</v>
      </c>
      <c r="CH21" s="356">
        <v>43282</v>
      </c>
      <c r="CI21" s="370" t="s">
        <v>15</v>
      </c>
      <c r="CJ21" s="370"/>
      <c r="CK21" s="371">
        <v>4</v>
      </c>
      <c r="CL21" s="371">
        <v>2</v>
      </c>
      <c r="CM21" s="370">
        <v>1</v>
      </c>
      <c r="CN21" s="494">
        <f>'FPS Pivot Table'!D31</f>
        <v>57.27</v>
      </c>
      <c r="CO21" s="158"/>
      <c r="CP21" s="313" t="str">
        <f t="shared" si="14"/>
        <v>142</v>
      </c>
      <c r="CQ21" s="356">
        <v>43282</v>
      </c>
      <c r="CR21" s="356">
        <v>43282</v>
      </c>
      <c r="CS21" s="370" t="s">
        <v>15</v>
      </c>
      <c r="CT21" s="370"/>
      <c r="CU21" s="371">
        <v>4</v>
      </c>
      <c r="CV21" s="371">
        <v>2</v>
      </c>
      <c r="CW21" s="370">
        <v>1</v>
      </c>
      <c r="CX21" s="494">
        <f>'FPS Pivot Table'!E31</f>
        <v>59.56</v>
      </c>
      <c r="CY21" s="661">
        <f t="shared" si="15"/>
        <v>61.94</v>
      </c>
      <c r="CZ21" s="158"/>
      <c r="DA21" s="313" t="str">
        <f t="shared" si="9"/>
        <v>142</v>
      </c>
      <c r="DB21" s="356">
        <v>43282</v>
      </c>
      <c r="DC21" s="356">
        <v>43282</v>
      </c>
      <c r="DD21" s="371" t="s">
        <v>375</v>
      </c>
      <c r="DE21" s="371"/>
      <c r="DF21" s="371">
        <v>4</v>
      </c>
      <c r="DG21" s="371">
        <v>2</v>
      </c>
      <c r="DH21" s="371">
        <v>1</v>
      </c>
      <c r="DI21" s="494">
        <f>'FPS Pivot Table'!F31</f>
        <v>136.58000000000001</v>
      </c>
      <c r="DJ21" s="244"/>
      <c r="DK21" s="313" t="str">
        <f t="shared" si="10"/>
        <v>142</v>
      </c>
      <c r="DL21" s="356">
        <v>43282</v>
      </c>
      <c r="DM21" s="356">
        <v>43282</v>
      </c>
      <c r="DN21" s="371" t="s">
        <v>375</v>
      </c>
      <c r="DO21" s="371"/>
      <c r="DP21" s="371">
        <v>4</v>
      </c>
      <c r="DQ21" s="371">
        <v>2</v>
      </c>
      <c r="DR21" s="371">
        <v>1</v>
      </c>
      <c r="DS21" s="494">
        <f>'FPS Pivot Table'!G31</f>
        <v>142.04</v>
      </c>
      <c r="DT21" s="661">
        <f t="shared" si="16"/>
        <v>147.72</v>
      </c>
      <c r="DU21" s="244"/>
      <c r="DV21" s="244"/>
      <c r="DW21" s="244"/>
      <c r="DX21" s="244"/>
      <c r="DY21" s="244"/>
      <c r="DZ21" s="228" t="str">
        <f t="shared" si="11"/>
        <v>CharlesDay</v>
      </c>
      <c r="EA21" s="517" t="s">
        <v>169</v>
      </c>
      <c r="EB21" s="463" t="s">
        <v>134</v>
      </c>
      <c r="EC21" s="229">
        <v>23.43</v>
      </c>
      <c r="ED21" s="462">
        <v>28.64</v>
      </c>
      <c r="EE21" s="536">
        <f>'FY24_PCI2_Rates.locked v3'!$Q$16</f>
        <v>32.17</v>
      </c>
      <c r="EF21" s="661">
        <f t="shared" si="17"/>
        <v>33.46</v>
      </c>
      <c r="EG21" s="536"/>
      <c r="EH21" s="228" t="str">
        <f t="shared" si="12"/>
        <v>CharlesResidential</v>
      </c>
      <c r="EI21" s="228" t="s">
        <v>169</v>
      </c>
      <c r="EJ21" s="168" t="s">
        <v>376</v>
      </c>
      <c r="EK21" s="229">
        <v>21.09</v>
      </c>
      <c r="EL21" s="466">
        <v>25.78</v>
      </c>
      <c r="EM21" s="539">
        <f>'FY24_PCI2_Rates.locked v3'!$Q$23</f>
        <v>28.94</v>
      </c>
      <c r="EN21" s="661">
        <f t="shared" si="18"/>
        <v>30.1</v>
      </c>
      <c r="EO21" s="244"/>
      <c r="EP21" s="230" t="str">
        <f>IF(EQ21="","",MAX(EP$2:EP20)+1)</f>
        <v/>
      </c>
      <c r="EQ21" s="244" t="str">
        <f t="shared" si="28"/>
        <v/>
      </c>
      <c r="ER21" s="150" t="str">
        <f>IF(AND(Budget!$E$12="Self-Direction",Budget!$A$12="Community Supports Waiver"),Budget!EV21,IF(AND(Budget!$E$12="Traditional",Budget!$A$12="Community Supports Waiver"),Budget!EW21,IF(AND(Budget!$E$12="Self-Direction",Budget!$A$12="Family Supports Waiver"),Budget!EZ21,IF(AND(Budget!$E$12="Traditional",Budget!$A$12="Family Supports Waiver"),Budget!FA20,IF(AND(Budget!$E$12="Traditional",Budget!$A$12="Community Pathways Waiver"),Budget!EY21,IF(AND(Budget!$E$12="Self-Direction",Budget!$A$12="Community Pathways Waiver"),Budget!EX21,""))))))</f>
        <v/>
      </c>
      <c r="ES21" s="232" t="str">
        <f>IF(ISERROR(INDEX($EQ$3:$EQ$24,MATCH(ROW()-ROW($ES$2),$EP$3:$EP$24,0))),"",INDEX($EQ$3:$EQ$24,MATCH(ROW()-ROW($ES$2),$EP$3:$EP$24,0)))</f>
        <v/>
      </c>
      <c r="ET21" s="244"/>
      <c r="EU21" s="244"/>
      <c r="EV21" s="58" t="s">
        <v>121</v>
      </c>
      <c r="EW21" s="233"/>
      <c r="EX21" s="18" t="s">
        <v>126</v>
      </c>
      <c r="EY21" s="18" t="s">
        <v>116</v>
      </c>
      <c r="EZ21" s="18" t="s">
        <v>121</v>
      </c>
      <c r="FA21" s="27"/>
      <c r="FB21" s="77"/>
      <c r="FC21" s="230" t="str">
        <f>IF(FD21="","",MAX(FC$2:FC20)+1)</f>
        <v/>
      </c>
      <c r="FD21" s="231" t="str">
        <f t="shared" si="3"/>
        <v/>
      </c>
      <c r="FE21" s="231">
        <f>IF(AND(Budget!$E$12="Self-Direction",Budget!$A$12="Community Supports Waiver"),Budget!FI21,IF(AND(Budget!$E$12="Traditional",Budget!$A$12="Community Supports Waiver"),Budget!FL21,IF(AND(Budget!$E$12="Self-Direction",Budget!$A$12="Community Pathways Waiver"),Budget!FJ21,IF(AND(Budget!$E$12="Traditional",Budget!$A$12="Community Pathways Waiver"),FK21,))))</f>
        <v>0</v>
      </c>
      <c r="FF21" s="232" t="str">
        <f t="shared" si="4"/>
        <v/>
      </c>
      <c r="FG21" s="244"/>
      <c r="FH21" s="244"/>
      <c r="FI21" s="233"/>
      <c r="FJ21" s="18"/>
      <c r="FK21" s="18"/>
      <c r="FL21" s="18"/>
      <c r="FM21" s="77"/>
      <c r="FN21" s="230" t="str">
        <f>IF(FO21="","",MAX(FN$2:FN20)+1)</f>
        <v/>
      </c>
      <c r="FO21" s="231" t="str">
        <f t="shared" si="2"/>
        <v/>
      </c>
      <c r="FP21" s="43">
        <f>IF(AND(Budget!$E$12="Self-Direction",Budget!$A$12="Community Supports Waiver"),Budget!FU21,IF(AND(Budget!$E$12="Traditional",Budget!$A$12="Community Supports Waiver"),Budget!FU21,IF(AND(Budget!$E$12="Self-Direction",Budget!$A$12="Community Pathways Waiver"),Budget!FU21,IF(AND(Budget!$E$12="Traditional",Budget!$A$12="Community Pathways Waiver"),FU21,))))</f>
        <v>0</v>
      </c>
      <c r="FQ21" s="232" t="str">
        <f t="shared" si="5"/>
        <v/>
      </c>
      <c r="FR21" s="244"/>
      <c r="FS21" s="244"/>
      <c r="FT21" s="18"/>
      <c r="FU21" s="18"/>
      <c r="FV21" s="32"/>
      <c r="FW21" s="32"/>
      <c r="FX21" s="77"/>
    </row>
    <row r="22" spans="1:180" ht="14.4" customHeight="1" thickBot="1">
      <c r="A22" s="468">
        <f>IF(B22&lt;&gt;"",SUM($B$19:B22),"")</f>
        <v>4</v>
      </c>
      <c r="B22" s="468">
        <f t="shared" si="19"/>
        <v>1</v>
      </c>
      <c r="D22" s="14" t="s">
        <v>153</v>
      </c>
      <c r="E22" s="289"/>
      <c r="F22" s="133"/>
      <c r="G22" s="133"/>
      <c r="H22" s="207"/>
      <c r="I22" s="207"/>
      <c r="J22" s="127" t="str">
        <f>IF(ISERROR((IF($D22="","",VLOOKUP(CONCATENATE($E$12,$A$12,$D22),'Waiver Rate Table'!$B$8:$S$219,6,FALSE)))),"Unavailable",(IF($D22="","",VLOOKUP(CONCATENATE($E$12,$A$12,$D22),'Waiver Rate Table'!$B$8:$S$219,6,FALSE))))</f>
        <v>Unavailable</v>
      </c>
      <c r="K22" s="658" t="str">
        <f>IF(ISERROR(IF(OR($AI22="N/A",$AJ22="N/A",$E$14="",$K$17="",$AI22=0,$AJ22=0,$AI22="",$AJ22=""),"",VLOOKUP(CONCATENATE(VLOOKUP($I22,$AV$5:$AW$28,2,FALSE),$AI22,$AJ22),Budget!$CP$4:$CX$310,9)+(ROUND($AK$33,2)))),"",IF(OR($AI22="N/A",$AJ22="N/A",$E$14="",$K$17="",$AI22=0,$AJ22=0,$AI22="",$AJ22=""),"",VLOOKUP(CONCATENATE(VLOOKUP($I22,$AV$5:$AW$28,2,FALSE),$AI22,$AJ22),Budget!$CP$4:$CX$310,9)+(ROUND($AK$33,2))))</f>
        <v/>
      </c>
      <c r="L22" s="73">
        <v>250</v>
      </c>
      <c r="M22" s="172">
        <f>IF($D22="","",SUMPRODUCT('Add-On Tool'!$L$6:$L$14*('Add-On Tool'!$D$6:$D$14=Budget!$D22))+SUMPRODUCT('Add-On Tool'!$K$21:$K$29*('Add-On Tool'!$D$21:$D$29=Budget!$D22)))</f>
        <v>0</v>
      </c>
      <c r="N22" s="84" t="str">
        <f t="shared" si="29"/>
        <v/>
      </c>
      <c r="O22" s="84" t="str">
        <f>IF(ISERROR(IF(OR($AI22="N/A",$AJ22="N/A",$E$14="",$O$17="",$AI22=0,$AJ22=0,$AI22="",$AJ22=""),"",(ROUND(VLOOKUP(CONCATENATE(VLOOKUP($I22,$AV$5:$AW$28,2,FALSE),$AI22,$AJ22),Budget!$CP$4:$CY$310,10),2))+(ROUND($AK$34,2)))),"",(IF(OR($AI22="N/A",$AJ22="N/A",$E$14="",$O$17="",$AI22=0,$AJ22=0,$AI22="",$AJ22=""),"",(ROUND(VLOOKUP(CONCATENATE(VLOOKUP($I22,$AV$5:$AW$28,2,FALSE),$AI22,$AJ22),Budget!$CP$4:$CY$310,10),2))+(ROUND($AK$34,2)))))</f>
        <v/>
      </c>
      <c r="P22" s="73">
        <v>62</v>
      </c>
      <c r="Q22" s="172">
        <f>IF($D22="","",SUMPRODUCT('Add-On Tool'!$O$6:$O$14*('Add-On Tool'!$D$6:$D$14=Budget!$D22))+SUMPRODUCT('Add-On Tool'!$N$21:$N$29*('Add-On Tool'!$D$21:$D$29=Budget!$D22)))</f>
        <v>0</v>
      </c>
      <c r="R22" s="68" t="str">
        <f t="shared" si="20"/>
        <v/>
      </c>
      <c r="S22" s="7"/>
      <c r="T22" s="7"/>
      <c r="U22" s="7"/>
      <c r="V22" s="7"/>
      <c r="W22" s="7"/>
      <c r="X22" s="7"/>
      <c r="Y22" s="7"/>
      <c r="Z22" s="7"/>
      <c r="AA22" s="7"/>
      <c r="AB22" s="7"/>
      <c r="AC22" s="7"/>
      <c r="AD22" s="7"/>
      <c r="AE22" s="473" t="str">
        <f t="shared" si="30"/>
        <v/>
      </c>
      <c r="AF22" s="473" t="str">
        <f t="shared" si="21"/>
        <v/>
      </c>
      <c r="AG22" s="473" t="str">
        <f>IF(ISERROR((IF(AND(VLOOKUP(Budget!$D22,Budget!$AP$146:$AQ$152,2,FALSE)="x",$D22&lt;&gt;""),"x",""))),"",(IF(AND(VLOOKUP(Budget!$D22,Budget!$AP$146:$AQ$152,2,FALSE)="x",$D22&lt;&gt;""),"x","")))</f>
        <v/>
      </c>
      <c r="AH22" s="473" t="str">
        <f>IF(ISERROR((VLOOKUP(D22,'Waiver Rate Table'!$C$8:$F$219,4,FALSE))),"",(VLOOKUP(D22,'Waiver Rate Table'!$C$8:$F$219,4,FALSE)))</f>
        <v>Employment</v>
      </c>
      <c r="AI22" s="473">
        <f t="shared" si="22"/>
        <v>0</v>
      </c>
      <c r="AJ22" s="473">
        <f t="shared" si="23"/>
        <v>0</v>
      </c>
      <c r="AK22" s="473" t="str">
        <f t="shared" si="24"/>
        <v/>
      </c>
      <c r="AL22" s="473" t="str">
        <f t="shared" si="25"/>
        <v/>
      </c>
      <c r="AM22" s="473" t="str">
        <f>IF(ISERROR((VLOOKUP(CONCATENATE($E$12,$A$12,$D22),'Waiver Rate Table'!$B$7:$S$219,7,FALSE))),"",(VLOOKUP(CONCATENATE($E$12,$A$12,$D22),'Waiver Rate Table'!$B$7:$S$219,7,FALSE)))</f>
        <v/>
      </c>
      <c r="AN22" s="551">
        <f t="shared" si="26"/>
        <v>0</v>
      </c>
      <c r="AO22" s="551">
        <f t="shared" si="27"/>
        <v>0</v>
      </c>
      <c r="AP22" s="244"/>
      <c r="AQ22" s="244"/>
      <c r="AR22" s="244"/>
      <c r="AS22" s="244"/>
      <c r="AT22" s="244"/>
      <c r="AU22" s="244"/>
      <c r="AV22" s="596" t="s">
        <v>164</v>
      </c>
      <c r="AW22" s="315">
        <v>1</v>
      </c>
      <c r="AX22" s="316">
        <v>17</v>
      </c>
      <c r="AY22" s="225" t="s">
        <v>0</v>
      </c>
      <c r="AZ22" s="244"/>
      <c r="BA22" s="244"/>
      <c r="BB22" s="317" t="str">
        <f t="shared" si="6"/>
        <v>283-168</v>
      </c>
      <c r="BC22" s="226" t="s">
        <v>13</v>
      </c>
      <c r="BD22" s="226" t="s">
        <v>14</v>
      </c>
      <c r="BE22" s="226" t="s">
        <v>26</v>
      </c>
      <c r="BF22" s="226" t="s">
        <v>4</v>
      </c>
      <c r="BG22" s="155">
        <v>19.489999999999998</v>
      </c>
      <c r="BH22" s="155">
        <v>19.489999999999998</v>
      </c>
      <c r="BI22" s="155">
        <v>19.489999999999998</v>
      </c>
      <c r="BJ22" s="227" t="s">
        <v>17</v>
      </c>
      <c r="BK22" s="226"/>
      <c r="BL22" s="317" t="str">
        <f t="shared" si="7"/>
        <v>20</v>
      </c>
      <c r="BM22" s="356">
        <v>43282</v>
      </c>
      <c r="BN22" s="356">
        <v>43282</v>
      </c>
      <c r="BO22" s="360" t="s">
        <v>26</v>
      </c>
      <c r="BP22" s="358" t="s">
        <v>27</v>
      </c>
      <c r="BQ22" s="360">
        <v>0</v>
      </c>
      <c r="BR22" s="360">
        <v>0</v>
      </c>
      <c r="BS22" s="360">
        <v>0</v>
      </c>
      <c r="BT22" s="359">
        <v>2</v>
      </c>
      <c r="BU22" s="42"/>
      <c r="BV22" s="317" t="str">
        <f t="shared" si="8"/>
        <v>20</v>
      </c>
      <c r="BW22" s="356">
        <v>43282</v>
      </c>
      <c r="BX22" s="356">
        <v>43282</v>
      </c>
      <c r="BY22" s="360" t="s">
        <v>26</v>
      </c>
      <c r="BZ22" s="358" t="s">
        <v>27</v>
      </c>
      <c r="CA22" s="360">
        <v>0</v>
      </c>
      <c r="CB22" s="360">
        <v>0</v>
      </c>
      <c r="CC22" s="360">
        <v>0</v>
      </c>
      <c r="CD22" s="359">
        <v>2</v>
      </c>
      <c r="CE22" s="226"/>
      <c r="CF22" s="313" t="str">
        <f t="shared" si="13"/>
        <v>143</v>
      </c>
      <c r="CG22" s="356">
        <v>43282</v>
      </c>
      <c r="CH22" s="356">
        <v>43282</v>
      </c>
      <c r="CI22" s="370" t="s">
        <v>15</v>
      </c>
      <c r="CJ22" s="370"/>
      <c r="CK22" s="371">
        <v>4</v>
      </c>
      <c r="CL22" s="371">
        <v>3</v>
      </c>
      <c r="CM22" s="370">
        <v>1</v>
      </c>
      <c r="CN22" s="494">
        <f>'FPS Pivot Table'!D32</f>
        <v>61.94</v>
      </c>
      <c r="CO22" s="158"/>
      <c r="CP22" s="313" t="str">
        <f t="shared" si="14"/>
        <v>143</v>
      </c>
      <c r="CQ22" s="356">
        <v>43282</v>
      </c>
      <c r="CR22" s="356">
        <v>43282</v>
      </c>
      <c r="CS22" s="370" t="s">
        <v>15</v>
      </c>
      <c r="CT22" s="370"/>
      <c r="CU22" s="371">
        <v>4</v>
      </c>
      <c r="CV22" s="371">
        <v>3</v>
      </c>
      <c r="CW22" s="370">
        <v>1</v>
      </c>
      <c r="CX22" s="494">
        <f>'FPS Pivot Table'!E32</f>
        <v>64.42</v>
      </c>
      <c r="CY22" s="661">
        <f t="shared" si="15"/>
        <v>67</v>
      </c>
      <c r="CZ22" s="158"/>
      <c r="DA22" s="313" t="str">
        <f t="shared" si="9"/>
        <v>143</v>
      </c>
      <c r="DB22" s="356">
        <v>43282</v>
      </c>
      <c r="DC22" s="356">
        <v>43282</v>
      </c>
      <c r="DD22" s="371" t="s">
        <v>375</v>
      </c>
      <c r="DE22" s="371"/>
      <c r="DF22" s="371">
        <v>4</v>
      </c>
      <c r="DG22" s="371">
        <v>3</v>
      </c>
      <c r="DH22" s="371">
        <v>1</v>
      </c>
      <c r="DI22" s="494">
        <f>'FPS Pivot Table'!F32</f>
        <v>140.68</v>
      </c>
      <c r="DJ22" s="244"/>
      <c r="DK22" s="313" t="str">
        <f t="shared" si="10"/>
        <v>143</v>
      </c>
      <c r="DL22" s="356">
        <v>43282</v>
      </c>
      <c r="DM22" s="356">
        <v>43282</v>
      </c>
      <c r="DN22" s="371" t="s">
        <v>375</v>
      </c>
      <c r="DO22" s="371"/>
      <c r="DP22" s="371">
        <v>4</v>
      </c>
      <c r="DQ22" s="371">
        <v>3</v>
      </c>
      <c r="DR22" s="371">
        <v>1</v>
      </c>
      <c r="DS22" s="494">
        <f>'FPS Pivot Table'!G32</f>
        <v>146.31</v>
      </c>
      <c r="DT22" s="661">
        <f t="shared" si="16"/>
        <v>152.16</v>
      </c>
      <c r="DU22" s="244"/>
      <c r="DV22" s="244"/>
      <c r="DW22" s="244" t="s">
        <v>487</v>
      </c>
      <c r="DX22" s="244"/>
      <c r="DY22" s="244"/>
      <c r="DZ22" s="228" t="str">
        <f t="shared" si="11"/>
        <v>CharlesSupported Employment</v>
      </c>
      <c r="EA22" s="517" t="s">
        <v>169</v>
      </c>
      <c r="EB22" s="463" t="s">
        <v>152</v>
      </c>
      <c r="EC22" s="229">
        <v>23.43</v>
      </c>
      <c r="ED22" s="462">
        <v>28.64</v>
      </c>
      <c r="EE22" s="536">
        <f>'FY24_PCI2_Rates.locked v3'!$Q$16</f>
        <v>32.17</v>
      </c>
      <c r="EF22" s="661">
        <f t="shared" si="17"/>
        <v>33.46</v>
      </c>
      <c r="EG22" s="536"/>
      <c r="EH22" s="228" t="str">
        <f t="shared" si="12"/>
        <v>CharlesResidential</v>
      </c>
      <c r="EI22" s="228" t="s">
        <v>169</v>
      </c>
      <c r="EJ22" s="168" t="s">
        <v>376</v>
      </c>
      <c r="EK22" s="229">
        <v>21.09</v>
      </c>
      <c r="EL22" s="466">
        <v>25.78</v>
      </c>
      <c r="EM22" s="539">
        <f>'FY24_PCI2_Rates.locked v3'!$Q$23</f>
        <v>28.94</v>
      </c>
      <c r="EN22" s="661">
        <f t="shared" si="18"/>
        <v>30.1</v>
      </c>
      <c r="EO22" s="244"/>
      <c r="EP22" s="230" t="str">
        <f>IF(EQ22="","",MAX(EP$2:EP21)+1)</f>
        <v/>
      </c>
      <c r="EQ22" s="244" t="str">
        <f>IF(ER22&lt;&gt;0,ER22,"")</f>
        <v/>
      </c>
      <c r="ER22" s="150" t="str">
        <f>IF(AND(Budget!$E$12="Self-Direction",Budget!$A$12="Community Supports Waiver"),Budget!EV22,IF(AND(Budget!$E$12="Traditional",Budget!$A$12="Community Supports Waiver"),Budget!EW22,IF(AND(Budget!$E$12="Self-Direction",Budget!$A$12="Family Supports Waiver"),Budget!EZ23,IF(AND(Budget!$E$12="Traditional",Budget!$A$12="Family Supports Waiver"),Budget!FA26,IF(AND(Budget!$E$12="Traditional",Budget!$A$12="Community Pathways Waiver"),Budget!EY22,IF(AND(Budget!$E$12="Self-Direction",Budget!$A$12="Community Pathways Waiver"),Budget!EX22,""))))))</f>
        <v/>
      </c>
      <c r="ES22" s="232" t="str">
        <f>IF(ISERROR(INDEX($EQ$3:$EQ$24,MATCH(ROW()-ROW($ES$2),$EP$3:$EP$24,0))),"",INDEX($EQ$3:$EQ$24,MATCH(ROW()-ROW($ES$2),$EP$3:$EP$24,0)))</f>
        <v/>
      </c>
      <c r="ET22" s="244"/>
      <c r="EU22" s="244"/>
      <c r="EV22" s="233"/>
      <c r="EW22" s="233"/>
      <c r="EX22" s="18" t="s">
        <v>366</v>
      </c>
      <c r="EY22" s="27" t="s">
        <v>121</v>
      </c>
      <c r="EZ22" s="27"/>
      <c r="FA22" s="18"/>
      <c r="FB22" s="77"/>
      <c r="FC22" s="230" t="str">
        <f>IF(FD22="","",MAX(FC$2:FC21)+1)</f>
        <v/>
      </c>
      <c r="FD22" s="231" t="str">
        <f t="shared" si="3"/>
        <v/>
      </c>
      <c r="FE22" s="231">
        <f>IF(AND(Budget!$E$12="Self-Direction",Budget!$A$12="Community Supports Waiver"),Budget!FI22,IF(AND(Budget!$E$12="Traditional",Budget!$A$12="Community Supports Waiver"),Budget!FL22,IF(AND(Budget!$E$12="Self-Direction",Budget!$A$12="Community Pathways Waiver"),Budget!FJ22,IF(AND(Budget!$E$12="Traditional",Budget!$A$12="Community Pathways Waiver"),FK22,))))</f>
        <v>0</v>
      </c>
      <c r="FF22" s="232" t="str">
        <f t="shared" si="4"/>
        <v/>
      </c>
      <c r="FG22" s="244"/>
      <c r="FH22" s="244"/>
      <c r="FI22" s="237"/>
      <c r="FJ22" s="27"/>
      <c r="FK22" s="27"/>
      <c r="FL22" s="27"/>
      <c r="FM22" s="77"/>
      <c r="FN22" s="230" t="str">
        <f>IF(FO22="","",MAX(FN$2:FN21)+1)</f>
        <v/>
      </c>
      <c r="FO22" s="231" t="str">
        <f t="shared" si="2"/>
        <v/>
      </c>
      <c r="FP22" s="43">
        <f>IF(AND(Budget!$E$12="Self-Direction",Budget!$A$12="Community Supports Waiver"),Budget!FU22,IF(AND(Budget!$E$12="Traditional",Budget!$A$12="Community Supports Waiver"),Budget!FU22,IF(AND(Budget!$E$12="Self-Direction",Budget!$A$12="Community Pathways Waiver"),Budget!FU22,IF(AND(Budget!$E$12="Traditional",Budget!$A$12="Community Pathways Waiver"),FU22,))))</f>
        <v>0</v>
      </c>
      <c r="FQ22" s="232" t="str">
        <f t="shared" si="5"/>
        <v/>
      </c>
      <c r="FR22" s="244"/>
      <c r="FS22" s="244"/>
      <c r="FT22" s="27"/>
      <c r="FU22" s="27"/>
      <c r="FV22" s="32"/>
      <c r="FW22" s="32"/>
      <c r="FX22" s="77"/>
    </row>
    <row r="23" spans="1:180" ht="14.4" customHeight="1" thickBot="1">
      <c r="A23" s="468">
        <f>IF(B23&lt;&gt;"",SUM($B$19:B23),"")</f>
        <v>5</v>
      </c>
      <c r="B23" s="468">
        <f t="shared" si="19"/>
        <v>1</v>
      </c>
      <c r="D23" s="14" t="s">
        <v>152</v>
      </c>
      <c r="E23" s="289"/>
      <c r="F23" s="133"/>
      <c r="G23" s="133"/>
      <c r="H23" s="207"/>
      <c r="I23" s="207"/>
      <c r="J23" s="127" t="str">
        <f>IF(ISERROR((IF($D23="","",VLOOKUP(CONCATENATE($E$12,$A$12,$D23),'Waiver Rate Table'!$B$8:$S$219,6,FALSE)))),"Unavailable",(IF($D23="","",VLOOKUP(CONCATENATE($E$12,$A$12,$D23),'Waiver Rate Table'!$B$8:$S$219,6,FALSE))))</f>
        <v>Unavailable</v>
      </c>
      <c r="K23" s="658" t="str">
        <f>IF(ISERROR(IF(OR($AI23="N/A",$AJ23="N/A",$E$14="",$K$17="",$AI23=0,$AJ23=0,$AI23="",$AJ23=""),"",VLOOKUP(CONCATENATE(VLOOKUP($I23,$AV$5:$AW$28,2,FALSE),$AI23,$AJ23),Budget!$CP$4:$CX$310,9)+(ROUND($AK$33,2)))),"",IF(OR($AI23="N/A",$AJ23="N/A",$E$14="",$K$17="",$AI23=0,$AJ23=0,$AI23="",$AJ23=""),"",VLOOKUP(CONCATENATE(VLOOKUP($I23,$AV$5:$AW$28,2,FALSE),$AI23,$AJ23),Budget!$CP$4:$CX$310,9)+(ROUND($AK$33,2))))</f>
        <v/>
      </c>
      <c r="L23" s="73">
        <v>250</v>
      </c>
      <c r="M23" s="172">
        <f>IF($D23="","",SUMPRODUCT('Add-On Tool'!$L$6:$L$14*('Add-On Tool'!$D$6:$D$14=Budget!$D23))+SUMPRODUCT('Add-On Tool'!$K$21:$K$29*('Add-On Tool'!$D$21:$D$29=Budget!$D23)))</f>
        <v>0</v>
      </c>
      <c r="N23" s="84" t="str">
        <f t="shared" si="29"/>
        <v/>
      </c>
      <c r="O23" s="84" t="str">
        <f>IF(ISERROR(IF(OR($AI23="N/A",$AJ23="N/A",$E$14="",$O$17="",$AI23=0,$AJ23=0,$AI23="",$AJ23=""),"",(ROUND(VLOOKUP(CONCATENATE(VLOOKUP($I23,$AV$5:$AW$28,2,FALSE),$AI23,$AJ23),Budget!$CP$4:$CY$310,10),2))+(ROUND($AK$34,2)))),"",(IF(OR($AI23="N/A",$AJ23="N/A",$E$14="",$O$17="",$AI23=0,$AJ23=0,$AI23="",$AJ23=""),"",(ROUND(VLOOKUP(CONCATENATE(VLOOKUP($I23,$AV$5:$AW$28,2,FALSE),$AI23,$AJ23),Budget!$CP$4:$CY$310,10),2))+(ROUND($AK$34,2)))))</f>
        <v/>
      </c>
      <c r="P23" s="73">
        <v>62</v>
      </c>
      <c r="Q23" s="172">
        <f>IF($D23="","",SUMPRODUCT('Add-On Tool'!$O$6:$O$14*('Add-On Tool'!$D$6:$D$14=Budget!$D23))+SUMPRODUCT('Add-On Tool'!$N$21:$N$29*('Add-On Tool'!$D$21:$D$29=Budget!$D23)))</f>
        <v>0</v>
      </c>
      <c r="R23" s="68" t="str">
        <f t="shared" si="20"/>
        <v/>
      </c>
      <c r="S23" s="7"/>
      <c r="T23" s="7"/>
      <c r="U23" s="7"/>
      <c r="V23" s="7"/>
      <c r="W23" s="7"/>
      <c r="X23" s="7"/>
      <c r="Y23" s="7"/>
      <c r="Z23" s="7"/>
      <c r="AA23" s="7"/>
      <c r="AB23" s="7"/>
      <c r="AC23" s="7"/>
      <c r="AD23" s="7"/>
      <c r="AE23" s="473" t="str">
        <f t="shared" si="30"/>
        <v/>
      </c>
      <c r="AF23" s="473" t="str">
        <f t="shared" si="21"/>
        <v/>
      </c>
      <c r="AG23" s="473" t="str">
        <f>IF(ISERROR((IF(AND(VLOOKUP(Budget!$D23,Budget!$AP$146:$AQ$152,2,FALSE)="x",$D23&lt;&gt;""),"x",""))),"",(IF(AND(VLOOKUP(Budget!$D23,Budget!$AP$146:$AQ$152,2,FALSE)="x",$D23&lt;&gt;""),"x","")))</f>
        <v>x</v>
      </c>
      <c r="AH23" s="473" t="str">
        <f>IF(ISERROR((VLOOKUP(D23,'Waiver Rate Table'!$C$8:$F$219,4,FALSE))),"",(VLOOKUP(D23,'Waiver Rate Table'!$C$8:$F$219,4,FALSE)))</f>
        <v>Employment</v>
      </c>
      <c r="AI23" s="473">
        <f t="shared" si="22"/>
        <v>0</v>
      </c>
      <c r="AJ23" s="473">
        <f t="shared" si="23"/>
        <v>0</v>
      </c>
      <c r="AK23" s="473" t="str">
        <f t="shared" si="24"/>
        <v/>
      </c>
      <c r="AL23" s="473" t="str">
        <f t="shared" si="25"/>
        <v/>
      </c>
      <c r="AM23" s="473" t="str">
        <f>IF(ISERROR((VLOOKUP(CONCATENATE($E$12,$A$12,$D23),'Waiver Rate Table'!$B$7:$S$219,7,FALSE))),"",(VLOOKUP(CONCATENATE($E$12,$A$12,$D23),'Waiver Rate Table'!$B$7:$S$219,7,FALSE)))</f>
        <v/>
      </c>
      <c r="AN23" s="551">
        <f t="shared" si="26"/>
        <v>0</v>
      </c>
      <c r="AO23" s="551">
        <f t="shared" si="27"/>
        <v>0</v>
      </c>
      <c r="AP23" s="319" t="s">
        <v>227</v>
      </c>
      <c r="AQ23" s="601">
        <f>Budget!$E$9</f>
        <v>0</v>
      </c>
      <c r="AR23" s="601">
        <f>Budget!A9</f>
        <v>1</v>
      </c>
      <c r="AS23" s="244"/>
      <c r="AT23" s="244"/>
      <c r="AU23" s="244"/>
      <c r="AV23" s="596" t="s">
        <v>175</v>
      </c>
      <c r="AW23" s="315">
        <v>3</v>
      </c>
      <c r="AX23" s="316">
        <v>18</v>
      </c>
      <c r="AY23" s="225" t="s">
        <v>0</v>
      </c>
      <c r="AZ23" s="244"/>
      <c r="BA23" s="244"/>
      <c r="BB23" s="317" t="str">
        <f t="shared" si="6"/>
        <v>30</v>
      </c>
      <c r="BC23" s="226" t="s">
        <v>13</v>
      </c>
      <c r="BD23" s="226" t="s">
        <v>14</v>
      </c>
      <c r="BE23" s="226" t="s">
        <v>26</v>
      </c>
      <c r="BF23" s="226" t="s">
        <v>27</v>
      </c>
      <c r="BG23" s="155">
        <v>0</v>
      </c>
      <c r="BH23" s="155">
        <v>0</v>
      </c>
      <c r="BI23" s="155">
        <v>0</v>
      </c>
      <c r="BJ23" s="227" t="s">
        <v>18</v>
      </c>
      <c r="BK23" s="226"/>
      <c r="BL23" s="317" t="str">
        <f t="shared" si="7"/>
        <v>383-168</v>
      </c>
      <c r="BM23" s="356">
        <v>43282</v>
      </c>
      <c r="BN23" s="356">
        <v>43282</v>
      </c>
      <c r="BO23" s="360" t="s">
        <v>26</v>
      </c>
      <c r="BP23" s="358" t="s">
        <v>4</v>
      </c>
      <c r="BQ23" s="400">
        <v>20</v>
      </c>
      <c r="BR23" s="400">
        <v>20</v>
      </c>
      <c r="BS23" s="400">
        <v>20</v>
      </c>
      <c r="BT23" s="359">
        <v>3</v>
      </c>
      <c r="BU23" s="42"/>
      <c r="BV23" s="317" t="str">
        <f t="shared" si="8"/>
        <v>383-168</v>
      </c>
      <c r="BW23" s="356">
        <v>43282</v>
      </c>
      <c r="BX23" s="356">
        <v>43282</v>
      </c>
      <c r="BY23" s="360" t="s">
        <v>26</v>
      </c>
      <c r="BZ23" s="358" t="s">
        <v>4</v>
      </c>
      <c r="CA23" s="448">
        <v>21.63</v>
      </c>
      <c r="CB23" s="448">
        <v>21.62</v>
      </c>
      <c r="CC23" s="448">
        <v>21.63</v>
      </c>
      <c r="CD23" s="359">
        <v>3</v>
      </c>
      <c r="CE23" s="226"/>
      <c r="CF23" s="313" t="str">
        <f t="shared" si="13"/>
        <v>144</v>
      </c>
      <c r="CG23" s="356">
        <v>43282</v>
      </c>
      <c r="CH23" s="356">
        <v>43282</v>
      </c>
      <c r="CI23" s="370" t="s">
        <v>15</v>
      </c>
      <c r="CJ23" s="370"/>
      <c r="CK23" s="371">
        <v>4</v>
      </c>
      <c r="CL23" s="371">
        <v>4</v>
      </c>
      <c r="CM23" s="370">
        <v>1</v>
      </c>
      <c r="CN23" s="494">
        <f>'FPS Pivot Table'!D33</f>
        <v>68.25</v>
      </c>
      <c r="CO23" s="158"/>
      <c r="CP23" s="313" t="str">
        <f t="shared" si="14"/>
        <v>144</v>
      </c>
      <c r="CQ23" s="356">
        <v>43282</v>
      </c>
      <c r="CR23" s="356">
        <v>43282</v>
      </c>
      <c r="CS23" s="370" t="s">
        <v>15</v>
      </c>
      <c r="CT23" s="370"/>
      <c r="CU23" s="371">
        <v>4</v>
      </c>
      <c r="CV23" s="371">
        <v>4</v>
      </c>
      <c r="CW23" s="370">
        <v>1</v>
      </c>
      <c r="CX23" s="494">
        <f>'FPS Pivot Table'!E33</f>
        <v>70.98</v>
      </c>
      <c r="CY23" s="661">
        <f t="shared" si="15"/>
        <v>73.819999999999993</v>
      </c>
      <c r="CZ23" s="158"/>
      <c r="DA23" s="313" t="str">
        <f t="shared" si="9"/>
        <v>144</v>
      </c>
      <c r="DB23" s="356">
        <v>43282</v>
      </c>
      <c r="DC23" s="356">
        <v>43282</v>
      </c>
      <c r="DD23" s="371" t="s">
        <v>375</v>
      </c>
      <c r="DE23" s="371"/>
      <c r="DF23" s="371">
        <v>4</v>
      </c>
      <c r="DG23" s="371">
        <v>4</v>
      </c>
      <c r="DH23" s="371">
        <v>1</v>
      </c>
      <c r="DI23" s="494">
        <f>'FPS Pivot Table'!F33</f>
        <v>146.22</v>
      </c>
      <c r="DJ23" s="244"/>
      <c r="DK23" s="313" t="str">
        <f t="shared" si="10"/>
        <v>144</v>
      </c>
      <c r="DL23" s="356">
        <v>43282</v>
      </c>
      <c r="DM23" s="356">
        <v>43282</v>
      </c>
      <c r="DN23" s="371" t="s">
        <v>375</v>
      </c>
      <c r="DO23" s="371"/>
      <c r="DP23" s="371">
        <v>4</v>
      </c>
      <c r="DQ23" s="371">
        <v>4</v>
      </c>
      <c r="DR23" s="371">
        <v>1</v>
      </c>
      <c r="DS23" s="494">
        <f>'FPS Pivot Table'!G33</f>
        <v>152.07</v>
      </c>
      <c r="DT23" s="661">
        <f t="shared" si="16"/>
        <v>158.15</v>
      </c>
      <c r="DU23" s="244"/>
      <c r="DV23" s="244"/>
      <c r="DW23" s="244"/>
      <c r="DX23" s="244"/>
      <c r="DY23" s="244"/>
      <c r="DZ23" s="228" t="str">
        <f t="shared" si="11"/>
        <v>DorchesterDay</v>
      </c>
      <c r="EA23" s="518" t="s">
        <v>173</v>
      </c>
      <c r="EB23" s="463" t="s">
        <v>134</v>
      </c>
      <c r="EC23" s="229">
        <v>22.11</v>
      </c>
      <c r="ED23" s="462">
        <v>27.03</v>
      </c>
      <c r="EE23" s="536">
        <f>'FY24_PCI2_Rates.locked v3'!$Q$17</f>
        <v>30.36</v>
      </c>
      <c r="EF23" s="661">
        <f t="shared" si="17"/>
        <v>31.57</v>
      </c>
      <c r="EG23" s="536"/>
      <c r="EH23" s="228" t="str">
        <f t="shared" si="12"/>
        <v>DorchesterResidential</v>
      </c>
      <c r="EI23" s="228" t="s">
        <v>173</v>
      </c>
      <c r="EJ23" s="168" t="s">
        <v>376</v>
      </c>
      <c r="EK23" s="229">
        <v>19.78</v>
      </c>
      <c r="EL23" s="466">
        <v>24.18</v>
      </c>
      <c r="EM23" s="539">
        <f>'FY24_PCI2_Rates.locked v3'!$Q$24</f>
        <v>27.15</v>
      </c>
      <c r="EN23" s="661">
        <f t="shared" si="18"/>
        <v>28.24</v>
      </c>
      <c r="EO23" s="244"/>
      <c r="EP23" s="230" t="str">
        <f>IF(EQ23="","",MAX(EP$2:EP22)+1)</f>
        <v/>
      </c>
      <c r="EQ23" s="244" t="str">
        <f t="shared" si="28"/>
        <v/>
      </c>
      <c r="ER23" s="150" t="str">
        <f>IF(AND(Budget!$E$12="Self-Direction",Budget!$A$12="Community Supports Waiver"),Budget!EV23,IF(AND(Budget!$E$12="Traditional",Budget!$A$12="Community Supports Waiver"),Budget!EW23,IF(AND(Budget!$E$12="Self-Direction",Budget!$A$12="Family Supports Waiver"),Budget!EZ24,IF(AND(Budget!$E$12="Traditional",Budget!$A$12="Family Supports Waiver"),Budget!FA27,IF(AND(Budget!$E$12="Traditional",Budget!$A$12="Community Pathways Waiver"),Budget!EY23,IF(AND(Budget!$E$12="Self-Direction",Budget!$A$12="Community Pathways Waiver"),Budget!EX23,""))))))</f>
        <v/>
      </c>
      <c r="ES23" s="232" t="str">
        <f>IF(ISERROR(INDEX($EQ$3:$EQ$24,MATCH(ROW()-ROW($ES$2),$EP$3:$EP$24,0))),"",INDEX($EQ$3:$EQ$24,MATCH(ROW()-ROW($ES$2),$EP$3:$EP$24,0)))</f>
        <v/>
      </c>
      <c r="ET23" s="244"/>
      <c r="EU23" s="244"/>
      <c r="EV23" s="233"/>
      <c r="EW23" s="237"/>
      <c r="EX23" s="27" t="s">
        <v>116</v>
      </c>
      <c r="EY23" s="18" t="s">
        <v>390</v>
      </c>
      <c r="EZ23" s="18"/>
      <c r="FA23" s="27"/>
      <c r="FB23" s="77"/>
      <c r="FC23" s="234" t="str">
        <f>IF(FD23="","",MAX(FC$2:FC22)+1)</f>
        <v/>
      </c>
      <c r="FD23" s="235" t="str">
        <f t="shared" si="3"/>
        <v/>
      </c>
      <c r="FE23" s="235">
        <f>IF(AND(Budget!$E$12="Self-Direction",Budget!$A$12="Community Supports Waiver"),Budget!FI23,IF(AND(Budget!$E$12="Traditional",Budget!$A$12="Community Supports Waiver"),Budget!FL23,IF(AND(Budget!$E$12="Self-Direction",Budget!$A$12="Community Pathways Waiver"),Budget!FJ23,IF(AND(Budget!$E$12="Traditional",Budget!$A$12="Community Pathways Waiver"),FK23,))))</f>
        <v>0</v>
      </c>
      <c r="FF23" s="236" t="str">
        <f t="shared" si="4"/>
        <v/>
      </c>
      <c r="FG23" s="244"/>
      <c r="FH23" s="244"/>
      <c r="FI23" s="266"/>
      <c r="FJ23" s="18"/>
      <c r="FK23" s="18"/>
      <c r="FL23" s="18"/>
      <c r="FM23" s="77"/>
      <c r="FN23" s="234" t="str">
        <f>IF(FO23="","",MAX(FN$2:FN22)+1)</f>
        <v/>
      </c>
      <c r="FO23" s="235" t="str">
        <f t="shared" si="2"/>
        <v/>
      </c>
      <c r="FP23" s="441">
        <f>IF(AND(Budget!$E$12="Self-Direction",Budget!$A$12="Community Supports Waiver"),Budget!FU23,IF(AND(Budget!$E$12="Traditional",Budget!$A$12="Community Supports Waiver"),Budget!FU23,IF(AND(Budget!$E$12="Self-Direction",Budget!$A$12="Community Pathways Waiver"),Budget!FU23,IF(AND(Budget!$E$12="Traditional",Budget!$A$12="Community Pathways Waiver"),FU23,))))</f>
        <v>0</v>
      </c>
      <c r="FQ23" s="236" t="str">
        <f t="shared" si="5"/>
        <v/>
      </c>
      <c r="FR23" s="244"/>
      <c r="FS23" s="244"/>
      <c r="FT23" s="18"/>
      <c r="FU23" s="18"/>
      <c r="FV23" s="32"/>
      <c r="FW23" s="32"/>
      <c r="FX23" s="77"/>
    </row>
    <row r="24" spans="1:180" ht="14.4" customHeight="1" thickBot="1">
      <c r="A24" s="468">
        <f>IF(B24&lt;&gt;"",SUM($B$19:B24),"")</f>
        <v>6</v>
      </c>
      <c r="B24" s="468">
        <f t="shared" si="19"/>
        <v>1</v>
      </c>
      <c r="D24" s="14" t="s">
        <v>140</v>
      </c>
      <c r="E24" s="289"/>
      <c r="F24" s="133"/>
      <c r="G24" s="133"/>
      <c r="H24" s="207"/>
      <c r="I24" s="207"/>
      <c r="J24" s="127" t="str">
        <f>IF(ISERROR((IF($D24="","",VLOOKUP(CONCATENATE($E$12,$A$12,$D24),'Waiver Rate Table'!$B$8:$S$219,6,FALSE)))),"Unavailable",(IF($D24="","",VLOOKUP(CONCATENATE($E$12,$A$12,$D24),'Waiver Rate Table'!$B$8:$S$219,6,FALSE))))</f>
        <v>Unavailable</v>
      </c>
      <c r="K24" s="658" t="str">
        <f>IF(ISERROR(IF(OR($AI24="N/A",$AJ24="N/A",$E$14="",$K$17="",$AI24=0,$AJ24=0,$AI24="",$AJ24=""),"",VLOOKUP(CONCATENATE(VLOOKUP($I24,$AV$5:$AW$28,2,FALSE),$AI24,$AJ24),Budget!$CP$4:$CX$310,9)+(ROUND($AK$33,2)))),"",IF(OR($AI24="N/A",$AJ24="N/A",$E$14="",$K$17="",$AI24=0,$AJ24=0,$AI24="",$AJ24=""),"",VLOOKUP(CONCATENATE(VLOOKUP($I24,$AV$5:$AW$28,2,FALSE),$AI24,$AJ24),Budget!$CP$4:$CX$310,9)+(ROUND($AK$33,2))))</f>
        <v/>
      </c>
      <c r="L24" s="73">
        <v>250</v>
      </c>
      <c r="M24" s="172">
        <f>IF($D24="","",SUMPRODUCT('Add-On Tool'!$L$6:$L$14*('Add-On Tool'!$D$6:$D$14=Budget!$D24))+SUMPRODUCT('Add-On Tool'!$K$21:$K$29*('Add-On Tool'!$D$21:$D$29=Budget!$D24)))</f>
        <v>0</v>
      </c>
      <c r="N24" s="84" t="str">
        <f t="shared" si="29"/>
        <v/>
      </c>
      <c r="O24" s="84" t="str">
        <f>IF(ISERROR(IF(OR($AI24="N/A",$AJ24="N/A",$E$14="",$O$17="",$AI24=0,$AJ24=0,$AI24="",$AJ24=""),"",(ROUND(VLOOKUP(CONCATENATE(VLOOKUP($I24,$AV$5:$AW$28,2,FALSE),$AI24,$AJ24),Budget!$CP$4:$CY$310,10),2))+(ROUND($AK$34,2)))),"",(IF(OR($AI24="N/A",$AJ24="N/A",$E$14="",$O$17="",$AI24=0,$AJ24=0,$AI24="",$AJ24=""),"",(ROUND(VLOOKUP(CONCATENATE(VLOOKUP($I24,$AV$5:$AW$28,2,FALSE),$AI24,$AJ24),Budget!$CP$4:$CY$310,10),2))+(ROUND($AK$34,2)))))</f>
        <v/>
      </c>
      <c r="P24" s="73">
        <v>62</v>
      </c>
      <c r="Q24" s="172">
        <f>IF($D24="","",SUMPRODUCT('Add-On Tool'!$O$6:$O$14*('Add-On Tool'!$D$6:$D$14=Budget!$D24))+SUMPRODUCT('Add-On Tool'!$N$21:$N$29*('Add-On Tool'!$D$21:$D$29=Budget!$D24)))</f>
        <v>0</v>
      </c>
      <c r="R24" s="68" t="str">
        <f t="shared" si="20"/>
        <v/>
      </c>
      <c r="S24" s="7"/>
      <c r="T24" s="7"/>
      <c r="U24" s="7"/>
      <c r="V24" s="7"/>
      <c r="W24" s="7"/>
      <c r="X24" s="7"/>
      <c r="Y24" s="7"/>
      <c r="Z24" s="7"/>
      <c r="AA24" s="7"/>
      <c r="AB24" s="7"/>
      <c r="AC24" s="7"/>
      <c r="AD24" s="7"/>
      <c r="AE24" s="473" t="str">
        <f t="shared" si="30"/>
        <v/>
      </c>
      <c r="AF24" s="473" t="str">
        <f t="shared" si="21"/>
        <v/>
      </c>
      <c r="AG24" s="473" t="str">
        <f>IF(ISERROR((IF(AND(VLOOKUP(Budget!$D24,Budget!$AP$146:$AQ$152,2,FALSE)="x",$D24&lt;&gt;""),"x",""))),"",(IF(AND(VLOOKUP(Budget!$D24,Budget!$AP$146:$AQ$152,2,FALSE)="x",$D24&lt;&gt;""),"x","")))</f>
        <v>x</v>
      </c>
      <c r="AH24" s="473" t="str">
        <f>IF(ISERROR((VLOOKUP(D24,'Waiver Rate Table'!$C$8:$F$219,4,FALSE))),"",(VLOOKUP(D24,'Waiver Rate Table'!$C$8:$F$219,4,FALSE)))</f>
        <v>Employment</v>
      </c>
      <c r="AI24" s="473">
        <f t="shared" si="22"/>
        <v>0</v>
      </c>
      <c r="AJ24" s="473">
        <f t="shared" si="23"/>
        <v>0</v>
      </c>
      <c r="AK24" s="473" t="str">
        <f t="shared" si="24"/>
        <v/>
      </c>
      <c r="AL24" s="473" t="str">
        <f t="shared" si="25"/>
        <v/>
      </c>
      <c r="AM24" s="473" t="str">
        <f>IF(ISERROR((VLOOKUP(CONCATENATE($E$12,$A$12,$D24),'Waiver Rate Table'!$B$7:$S$219,7,FALSE))),"",(VLOOKUP(CONCATENATE($E$12,$A$12,$D24),'Waiver Rate Table'!$B$7:$S$219,7,FALSE)))</f>
        <v/>
      </c>
      <c r="AN24" s="551">
        <f t="shared" si="26"/>
        <v>0</v>
      </c>
      <c r="AO24" s="551">
        <f t="shared" si="27"/>
        <v>0</v>
      </c>
      <c r="AP24" s="326" t="s">
        <v>738</v>
      </c>
      <c r="AQ24" s="639" t="str">
        <f>"7/1/"&amp;RIGHT(N5,4)</f>
        <v>7/1/2024</v>
      </c>
      <c r="AR24" s="639" t="str">
        <f>"7/1/"&amp;RIGHT(O5,4)</f>
        <v>7/1/2025</v>
      </c>
      <c r="AS24" s="601">
        <v>44013</v>
      </c>
      <c r="AT24" s="244"/>
      <c r="AU24" s="244"/>
      <c r="AV24" s="596" t="s">
        <v>170</v>
      </c>
      <c r="AW24" s="315">
        <v>3</v>
      </c>
      <c r="AX24" s="316">
        <v>19</v>
      </c>
      <c r="AY24" s="225" t="s">
        <v>0</v>
      </c>
      <c r="AZ24" s="244"/>
      <c r="BA24" s="244"/>
      <c r="BB24" s="317" t="str">
        <f t="shared" si="6"/>
        <v>31-19</v>
      </c>
      <c r="BC24" s="226" t="s">
        <v>13</v>
      </c>
      <c r="BD24" s="226" t="s">
        <v>14</v>
      </c>
      <c r="BE24" s="226" t="s">
        <v>26</v>
      </c>
      <c r="BF24" s="226" t="s">
        <v>0</v>
      </c>
      <c r="BG24" s="155">
        <v>30</v>
      </c>
      <c r="BH24" s="155">
        <v>27.91</v>
      </c>
      <c r="BI24" s="155">
        <v>22.37</v>
      </c>
      <c r="BJ24" s="227" t="s">
        <v>18</v>
      </c>
      <c r="BK24" s="226"/>
      <c r="BL24" s="317" t="str">
        <f t="shared" si="7"/>
        <v>328-82</v>
      </c>
      <c r="BM24" s="356">
        <v>43282</v>
      </c>
      <c r="BN24" s="356">
        <v>43282</v>
      </c>
      <c r="BO24" s="360" t="s">
        <v>26</v>
      </c>
      <c r="BP24" s="358" t="s">
        <v>3</v>
      </c>
      <c r="BQ24" s="400">
        <v>26.62</v>
      </c>
      <c r="BR24" s="400">
        <v>24.95</v>
      </c>
      <c r="BS24" s="400">
        <v>20</v>
      </c>
      <c r="BT24" s="359">
        <v>3</v>
      </c>
      <c r="BU24" s="42"/>
      <c r="BV24" s="317" t="str">
        <f t="shared" si="8"/>
        <v>328-82</v>
      </c>
      <c r="BW24" s="356">
        <v>43282</v>
      </c>
      <c r="BX24" s="356">
        <v>43282</v>
      </c>
      <c r="BY24" s="360" t="s">
        <v>26</v>
      </c>
      <c r="BZ24" s="358" t="s">
        <v>3</v>
      </c>
      <c r="CA24" s="448">
        <v>28.79</v>
      </c>
      <c r="CB24" s="448">
        <v>26.99</v>
      </c>
      <c r="CC24" s="448">
        <v>21.65</v>
      </c>
      <c r="CD24" s="359">
        <v>3</v>
      </c>
      <c r="CE24" s="226"/>
      <c r="CF24" s="313" t="str">
        <f t="shared" si="13"/>
        <v>145</v>
      </c>
      <c r="CG24" s="356">
        <v>43282</v>
      </c>
      <c r="CH24" s="356">
        <v>43282</v>
      </c>
      <c r="CI24" s="370" t="s">
        <v>15</v>
      </c>
      <c r="CJ24" s="370"/>
      <c r="CK24" s="371">
        <v>4</v>
      </c>
      <c r="CL24" s="371">
        <v>5</v>
      </c>
      <c r="CM24" s="370">
        <v>1</v>
      </c>
      <c r="CN24" s="494">
        <f>'FPS Pivot Table'!D34</f>
        <v>73.77</v>
      </c>
      <c r="CO24" s="158"/>
      <c r="CP24" s="313" t="str">
        <f t="shared" si="14"/>
        <v>145</v>
      </c>
      <c r="CQ24" s="356">
        <v>43282</v>
      </c>
      <c r="CR24" s="356">
        <v>43282</v>
      </c>
      <c r="CS24" s="370" t="s">
        <v>15</v>
      </c>
      <c r="CT24" s="370"/>
      <c r="CU24" s="371">
        <v>4</v>
      </c>
      <c r="CV24" s="371">
        <v>5</v>
      </c>
      <c r="CW24" s="370">
        <v>1</v>
      </c>
      <c r="CX24" s="494">
        <f>'FPS Pivot Table'!E34</f>
        <v>76.72</v>
      </c>
      <c r="CY24" s="661">
        <f t="shared" si="15"/>
        <v>79.790000000000006</v>
      </c>
      <c r="CZ24" s="158"/>
      <c r="DA24" s="313" t="str">
        <f t="shared" si="9"/>
        <v>145</v>
      </c>
      <c r="DB24" s="356">
        <v>43282</v>
      </c>
      <c r="DC24" s="356">
        <v>43282</v>
      </c>
      <c r="DD24" s="371" t="s">
        <v>375</v>
      </c>
      <c r="DE24" s="371"/>
      <c r="DF24" s="371">
        <v>4</v>
      </c>
      <c r="DG24" s="371">
        <v>5</v>
      </c>
      <c r="DH24" s="371">
        <v>1</v>
      </c>
      <c r="DI24" s="494">
        <f>'FPS Pivot Table'!F34</f>
        <v>151.08000000000001</v>
      </c>
      <c r="DJ24" s="244"/>
      <c r="DK24" s="313" t="str">
        <f t="shared" si="10"/>
        <v>145</v>
      </c>
      <c r="DL24" s="356">
        <v>43282</v>
      </c>
      <c r="DM24" s="356">
        <v>43282</v>
      </c>
      <c r="DN24" s="371" t="s">
        <v>375</v>
      </c>
      <c r="DO24" s="371"/>
      <c r="DP24" s="371">
        <v>4</v>
      </c>
      <c r="DQ24" s="371">
        <v>5</v>
      </c>
      <c r="DR24" s="371">
        <v>1</v>
      </c>
      <c r="DS24" s="494">
        <f>'FPS Pivot Table'!G34</f>
        <v>157.12</v>
      </c>
      <c r="DT24" s="661">
        <f t="shared" si="16"/>
        <v>163.4</v>
      </c>
      <c r="DU24" s="244"/>
      <c r="DV24" s="244"/>
      <c r="DW24" s="244"/>
      <c r="DX24" s="244"/>
      <c r="DY24" s="244"/>
      <c r="DZ24" s="228" t="str">
        <f t="shared" si="11"/>
        <v>DorchesterSupported Employment</v>
      </c>
      <c r="EA24" s="518" t="s">
        <v>173</v>
      </c>
      <c r="EB24" s="463" t="s">
        <v>152</v>
      </c>
      <c r="EC24" s="229">
        <v>22.11</v>
      </c>
      <c r="ED24" s="462">
        <v>27.03</v>
      </c>
      <c r="EE24" s="536">
        <f>'FY24_PCI2_Rates.locked v3'!$Q$17</f>
        <v>30.36</v>
      </c>
      <c r="EF24" s="661">
        <f t="shared" si="17"/>
        <v>31.57</v>
      </c>
      <c r="EG24" s="536"/>
      <c r="EH24" s="228" t="str">
        <f t="shared" si="12"/>
        <v>DorchesterResidential</v>
      </c>
      <c r="EI24" s="228" t="s">
        <v>173</v>
      </c>
      <c r="EJ24" s="168" t="s">
        <v>376</v>
      </c>
      <c r="EK24" s="229">
        <v>19.78</v>
      </c>
      <c r="EL24" s="466">
        <v>24.18</v>
      </c>
      <c r="EM24" s="539">
        <f>'FY24_PCI2_Rates.locked v3'!$Q$24</f>
        <v>27.15</v>
      </c>
      <c r="EN24" s="661">
        <f t="shared" si="18"/>
        <v>28.24</v>
      </c>
      <c r="EO24" s="244"/>
      <c r="EP24" s="230" t="str">
        <f>IF(EQ24="","",MAX(EP$2:EP23)+1)</f>
        <v/>
      </c>
      <c r="EQ24" s="231" t="str">
        <f t="shared" si="28"/>
        <v/>
      </c>
      <c r="ER24" s="150" t="str">
        <f>IF(AND(Budget!$E$12="Self-Direction",Budget!$A$12="Community Supports Waiver"),Budget!EV24,IF(AND(Budget!$E$12="Traditional",Budget!$A$12="Community Supports Waiver"),Budget!EW27,IF(AND(Budget!$E$12="Self-Direction",Budget!$A$12="Family Supports Waiver"),Budget!EZ25,IF(AND(Budget!$E$12="Traditional",Budget!$A$12="Family Supports Waiver"),Budget!FA28,IF(AND(Budget!$E$12="Traditional",Budget!$A$12="Community Pathways Waiver"),Budget!EY24,IF(AND(Budget!$E$12="Self-Direction",Budget!$A$12="Community Pathways Waiver"),Budget!EX24,""))))))</f>
        <v/>
      </c>
      <c r="ES24" s="232" t="str">
        <f>IF(ISERROR(INDEX($EQ$3:$EQ$24,MATCH(ROW()-ROW($ES$2),$EP$3:$EP$24,0))),"",INDEX($EQ$3:$EQ$24,MATCH(ROW()-ROW($ES$2),$EP$3:$EP$24,0)))</f>
        <v/>
      </c>
      <c r="ET24" s="244"/>
      <c r="EU24" s="244"/>
      <c r="EV24" s="237"/>
      <c r="EW24" s="266"/>
      <c r="EX24" s="18" t="s">
        <v>121</v>
      </c>
      <c r="EY24" s="27" t="s">
        <v>391</v>
      </c>
      <c r="EZ24" s="27"/>
      <c r="FA24" s="18"/>
      <c r="FB24" s="77"/>
      <c r="FC24" s="77"/>
      <c r="FD24" s="77"/>
      <c r="FE24" s="77"/>
      <c r="FF24" s="77"/>
      <c r="FG24" s="77"/>
      <c r="FH24" s="77"/>
      <c r="FI24" s="77"/>
      <c r="FJ24" s="77"/>
      <c r="FK24" s="77"/>
      <c r="FL24" s="77"/>
      <c r="FM24" s="77"/>
      <c r="FN24" s="77"/>
      <c r="FO24" s="77"/>
      <c r="FP24" s="77"/>
      <c r="FQ24" s="77"/>
      <c r="FR24" s="77"/>
      <c r="FS24" s="77"/>
      <c r="FT24" s="77"/>
      <c r="FU24" s="77"/>
      <c r="FV24" s="32"/>
      <c r="FW24" s="32"/>
      <c r="FX24" s="77"/>
    </row>
    <row r="25" spans="1:180" ht="14.4" customHeight="1" thickBot="1">
      <c r="A25" s="468">
        <f>IF(B25&lt;&gt;"",SUM($B$19:B25),"")</f>
        <v>7</v>
      </c>
      <c r="B25" s="468">
        <f t="shared" si="19"/>
        <v>1</v>
      </c>
      <c r="D25" s="15" t="s">
        <v>139</v>
      </c>
      <c r="E25" s="294"/>
      <c r="F25" s="135"/>
      <c r="G25" s="135"/>
      <c r="H25" s="208"/>
      <c r="I25" s="208"/>
      <c r="J25" s="128" t="str">
        <f>IF(ISERROR((IF($D25="","",VLOOKUP(CONCATENATE($E$12,$A$12,$D25),'Waiver Rate Table'!$B$8:$S$219,6,FALSE)))),"Unavailable",(IF($D25="","",VLOOKUP(CONCATENATE($E$12,$A$12,$D25),'Waiver Rate Table'!$B$8:$S$219,6,FALSE))))</f>
        <v>Unavailable</v>
      </c>
      <c r="K25" s="659" t="str">
        <f>IF(ISERROR(IF(OR($AI25="N/A",$AJ25="N/A",$E$14="",$K$17="",$AI25=0,$AJ25=0,$AI25="",$AJ25=""),"",VLOOKUP(CONCATENATE(VLOOKUP($I25,$AV$5:$AW$28,2,FALSE),$AI25,$AJ25),Budget!$CP$4:$CX$310,9)+(ROUND($AK$33,2)))),"",IF(OR($AI25="N/A",$AJ25="N/A",$E$14="",$K$17="",$AI25=0,$AJ25=0,$AI25="",$AJ25=""),"",VLOOKUP(CONCATENATE(VLOOKUP($I25,$AV$5:$AW$28,2,FALSE),$AI25,$AJ25),Budget!$CP$4:$CX$310,9)+(ROUND($AK$33,2))))</f>
        <v/>
      </c>
      <c r="L25" s="223">
        <v>250</v>
      </c>
      <c r="M25" s="173">
        <f>IF($D25="","",SUMPRODUCT('Add-On Tool'!$L$6:$L$14*('Add-On Tool'!$D$6:$D$14=Budget!$D25))+SUMPRODUCT('Add-On Tool'!$K$21:$K$29*('Add-On Tool'!$D$21:$D$29=Budget!$D25)))</f>
        <v>0</v>
      </c>
      <c r="N25" s="85" t="str">
        <f t="shared" si="29"/>
        <v/>
      </c>
      <c r="O25" s="85" t="str">
        <f>IF(ISERROR(IF(OR($AI25="N/A",$AJ25="N/A",$E$14="",$O$17="",$AI25=0,$AJ25=0,$AI25="",$AJ25=""),"",(ROUND(VLOOKUP(CONCATENATE(VLOOKUP($I25,$AV$5:$AW$28,2,FALSE),$AI25,$AJ25),Budget!$CP$4:$CY$310,10),2))+(ROUND($AK$34,2)))),"",(IF(OR($AI25="N/A",$AJ25="N/A",$E$14="",$O$17="",$AI25=0,$AJ25=0,$AI25="",$AJ25=""),"",(ROUND(VLOOKUP(CONCATENATE(VLOOKUP($I25,$AV$5:$AW$28,2,FALSE),$AI25,$AJ25),Budget!$CP$4:$CY$310,10),2))+(ROUND($AK$34,2)))))</f>
        <v/>
      </c>
      <c r="P25" s="223">
        <v>62</v>
      </c>
      <c r="Q25" s="173">
        <f>IF($D25="","",SUMPRODUCT('Add-On Tool'!$O$6:$O$14*('Add-On Tool'!$D$6:$D$14=Budget!$D25))+SUMPRODUCT('Add-On Tool'!$N$21:$N$29*('Add-On Tool'!$D$21:$D$29=Budget!$D25)))</f>
        <v>0</v>
      </c>
      <c r="R25" s="261" t="str">
        <f t="shared" si="20"/>
        <v/>
      </c>
      <c r="S25" s="7"/>
      <c r="T25" s="7"/>
      <c r="U25" s="7"/>
      <c r="V25" s="7"/>
      <c r="W25" s="7"/>
      <c r="X25" s="7"/>
      <c r="Y25" s="7"/>
      <c r="Z25" s="7"/>
      <c r="AA25" s="7"/>
      <c r="AB25" s="7"/>
      <c r="AC25" s="7"/>
      <c r="AD25" s="7"/>
      <c r="AE25" s="473" t="str">
        <f t="shared" si="30"/>
        <v/>
      </c>
      <c r="AF25" s="473" t="str">
        <f t="shared" si="21"/>
        <v/>
      </c>
      <c r="AG25" s="473" t="str">
        <f>IF(ISERROR((IF(AND(VLOOKUP(Budget!$D25,Budget!$AP$146:$AQ$152,2,FALSE)="x",$D25&lt;&gt;""),"x",""))),"",(IF(AND(VLOOKUP(Budget!$D25,Budget!$AP$146:$AQ$152,2,FALSE)="x",$D25&lt;&gt;""),"x","")))</f>
        <v>x</v>
      </c>
      <c r="AH25" s="473" t="str">
        <f>IF(ISERROR((VLOOKUP(D25,'Waiver Rate Table'!$C$8:$F$219,4,FALSE))),"",(VLOOKUP(D25,'Waiver Rate Table'!$C$8:$F$219,4,FALSE)))</f>
        <v>Employment</v>
      </c>
      <c r="AI25" s="473">
        <f t="shared" si="22"/>
        <v>0</v>
      </c>
      <c r="AJ25" s="473">
        <f t="shared" si="23"/>
        <v>0</v>
      </c>
      <c r="AK25" s="473" t="str">
        <f t="shared" si="24"/>
        <v/>
      </c>
      <c r="AL25" s="473" t="str">
        <f t="shared" si="25"/>
        <v/>
      </c>
      <c r="AM25" s="473" t="str">
        <f>IF(ISERROR((VLOOKUP(CONCATENATE($E$12,$A$12,$D25),'Waiver Rate Table'!$B$7:$S$219,7,FALSE))),"",(VLOOKUP(CONCATENATE($E$12,$A$12,$D25),'Waiver Rate Table'!$B$7:$S$219,7,FALSE)))</f>
        <v/>
      </c>
      <c r="AN25" s="551">
        <f t="shared" si="26"/>
        <v>0</v>
      </c>
      <c r="AO25" s="551">
        <f t="shared" si="27"/>
        <v>0</v>
      </c>
      <c r="AP25" s="326" t="s">
        <v>739</v>
      </c>
      <c r="AQ25" s="640">
        <f>+AG15</f>
        <v>0</v>
      </c>
      <c r="AR25" s="641">
        <f>AQ24-AR23</f>
        <v>45473</v>
      </c>
      <c r="AS25" s="244"/>
      <c r="AT25" s="244"/>
      <c r="AU25" s="244"/>
      <c r="AV25" s="596" t="s">
        <v>176</v>
      </c>
      <c r="AW25" s="315">
        <v>3</v>
      </c>
      <c r="AX25" s="316">
        <v>20</v>
      </c>
      <c r="AY25" s="225" t="s">
        <v>1</v>
      </c>
      <c r="AZ25" s="244"/>
      <c r="BA25" s="244"/>
      <c r="BB25" s="317" t="str">
        <f t="shared" si="6"/>
        <v>320-22</v>
      </c>
      <c r="BC25" s="226" t="s">
        <v>13</v>
      </c>
      <c r="BD25" s="226" t="s">
        <v>14</v>
      </c>
      <c r="BE25" s="226" t="s">
        <v>26</v>
      </c>
      <c r="BF25" s="226" t="s">
        <v>1</v>
      </c>
      <c r="BG25" s="155">
        <v>28.69</v>
      </c>
      <c r="BH25" s="155">
        <v>26.9</v>
      </c>
      <c r="BI25" s="155">
        <v>21.55</v>
      </c>
      <c r="BJ25" s="227" t="s">
        <v>18</v>
      </c>
      <c r="BK25" s="226"/>
      <c r="BL25" s="317" t="str">
        <f t="shared" si="7"/>
        <v>327</v>
      </c>
      <c r="BM25" s="356">
        <v>43282</v>
      </c>
      <c r="BN25" s="356">
        <v>43282</v>
      </c>
      <c r="BO25" s="360" t="s">
        <v>26</v>
      </c>
      <c r="BP25" s="358" t="s">
        <v>30</v>
      </c>
      <c r="BQ25" s="400">
        <v>27.01</v>
      </c>
      <c r="BR25" s="400">
        <v>25.32</v>
      </c>
      <c r="BS25" s="400">
        <v>20.28</v>
      </c>
      <c r="BT25" s="359">
        <v>3</v>
      </c>
      <c r="BU25" s="42"/>
      <c r="BV25" s="317" t="str">
        <f t="shared" si="8"/>
        <v>327</v>
      </c>
      <c r="BW25" s="356">
        <v>43282</v>
      </c>
      <c r="BX25" s="356">
        <v>43282</v>
      </c>
      <c r="BY25" s="360" t="s">
        <v>26</v>
      </c>
      <c r="BZ25" s="358" t="s">
        <v>30</v>
      </c>
      <c r="CA25" s="448">
        <v>29.21</v>
      </c>
      <c r="CB25" s="448">
        <v>27.38</v>
      </c>
      <c r="CC25" s="448">
        <v>21.93</v>
      </c>
      <c r="CD25" s="359">
        <v>3</v>
      </c>
      <c r="CE25" s="226"/>
      <c r="CF25" s="313" t="str">
        <f t="shared" si="13"/>
        <v>151</v>
      </c>
      <c r="CG25" s="356">
        <v>43282</v>
      </c>
      <c r="CH25" s="356">
        <v>43282</v>
      </c>
      <c r="CI25" s="370" t="s">
        <v>15</v>
      </c>
      <c r="CJ25" s="370"/>
      <c r="CK25" s="371">
        <v>5</v>
      </c>
      <c r="CL25" s="371">
        <v>1</v>
      </c>
      <c r="CM25" s="370">
        <v>1</v>
      </c>
      <c r="CN25" s="494">
        <f>'FPS Pivot Table'!D35</f>
        <v>75.709999999999994</v>
      </c>
      <c r="CO25" s="158"/>
      <c r="CP25" s="313" t="str">
        <f t="shared" si="14"/>
        <v>151</v>
      </c>
      <c r="CQ25" s="356">
        <v>43282</v>
      </c>
      <c r="CR25" s="356">
        <v>43282</v>
      </c>
      <c r="CS25" s="370" t="s">
        <v>15</v>
      </c>
      <c r="CT25" s="370"/>
      <c r="CU25" s="371">
        <v>5</v>
      </c>
      <c r="CV25" s="371">
        <v>1</v>
      </c>
      <c r="CW25" s="370">
        <v>1</v>
      </c>
      <c r="CX25" s="494">
        <f>'FPS Pivot Table'!E35</f>
        <v>78.739999999999995</v>
      </c>
      <c r="CY25" s="661">
        <f t="shared" si="15"/>
        <v>81.89</v>
      </c>
      <c r="CZ25" s="158"/>
      <c r="DA25" s="313" t="str">
        <f t="shared" si="9"/>
        <v>151</v>
      </c>
      <c r="DB25" s="356">
        <v>43282</v>
      </c>
      <c r="DC25" s="356">
        <v>43282</v>
      </c>
      <c r="DD25" s="371" t="s">
        <v>375</v>
      </c>
      <c r="DE25" s="371"/>
      <c r="DF25" s="371">
        <v>5</v>
      </c>
      <c r="DG25" s="371">
        <v>1</v>
      </c>
      <c r="DH25" s="371">
        <v>1</v>
      </c>
      <c r="DI25" s="494">
        <f>'FPS Pivot Table'!F35</f>
        <v>192.2</v>
      </c>
      <c r="DJ25" s="244"/>
      <c r="DK25" s="313" t="str">
        <f t="shared" si="10"/>
        <v>151</v>
      </c>
      <c r="DL25" s="356">
        <v>43282</v>
      </c>
      <c r="DM25" s="356">
        <v>43282</v>
      </c>
      <c r="DN25" s="371" t="s">
        <v>375</v>
      </c>
      <c r="DO25" s="371"/>
      <c r="DP25" s="371">
        <v>5</v>
      </c>
      <c r="DQ25" s="371">
        <v>1</v>
      </c>
      <c r="DR25" s="371">
        <v>1</v>
      </c>
      <c r="DS25" s="494">
        <f>'FPS Pivot Table'!G35</f>
        <v>199.89</v>
      </c>
      <c r="DT25" s="661">
        <f t="shared" si="16"/>
        <v>207.89</v>
      </c>
      <c r="DU25" s="244"/>
      <c r="DV25" s="244"/>
      <c r="DW25" s="244"/>
      <c r="DX25" s="244"/>
      <c r="DY25" s="244"/>
      <c r="DZ25" s="228" t="str">
        <f t="shared" si="11"/>
        <v>FrederickDay</v>
      </c>
      <c r="EA25" s="517" t="s">
        <v>166</v>
      </c>
      <c r="EB25" s="463" t="s">
        <v>134</v>
      </c>
      <c r="EC25" s="229">
        <v>23.43</v>
      </c>
      <c r="ED25" s="462">
        <v>28.64</v>
      </c>
      <c r="EE25" s="536">
        <f>'FY24_PCI2_Rates.locked v3'!$Q$16</f>
        <v>32.17</v>
      </c>
      <c r="EF25" s="661">
        <f t="shared" si="17"/>
        <v>33.46</v>
      </c>
      <c r="EG25" s="536"/>
      <c r="EH25" s="228" t="str">
        <f t="shared" si="12"/>
        <v>FrederickResidential</v>
      </c>
      <c r="EI25" s="228" t="s">
        <v>166</v>
      </c>
      <c r="EJ25" s="168" t="s">
        <v>376</v>
      </c>
      <c r="EK25" s="229">
        <v>21.09</v>
      </c>
      <c r="EL25" s="466">
        <v>25.78</v>
      </c>
      <c r="EM25" s="539">
        <f>'FY24_PCI2_Rates.locked v3'!$Q$23</f>
        <v>28.94</v>
      </c>
      <c r="EN25" s="661">
        <f t="shared" si="18"/>
        <v>30.1</v>
      </c>
      <c r="EO25" s="244"/>
      <c r="EP25" s="230" t="str">
        <f>IF(EQ25="","",MAX(EP$2:EP24)+1)</f>
        <v/>
      </c>
      <c r="EQ25" s="231" t="str">
        <f t="shared" si="28"/>
        <v/>
      </c>
      <c r="ER25" s="150" t="str">
        <f>IF(AND(Budget!$E$12="Self-Direction",Budget!$A$12="Community Supports Waiver"),Budget!EV25,IF(AND(Budget!$E$12="Traditional",Budget!$A$12="Community Supports Waiver"),Budget!EW28,IF(AND(Budget!$E$12="Self-Direction",Budget!$A$12="Family Supports Waiver"),Budget!EZ26,IF(AND(Budget!$E$12="Traditional",Budget!$A$12="Family Supports Waiver"),Budget!FA29,IF(AND(Budget!$E$12="Traditional",Budget!$A$12="Community Pathways Waiver"),Budget!EY25,IF(AND(Budget!$E$12="Self-Direction",Budget!$A$12="Community Pathways Waiver"),Budget!EX27,""))))))</f>
        <v/>
      </c>
      <c r="ES25" s="232" t="str">
        <f>IF(ISERROR(INDEX($EQ$3:$EQ$25,MATCH(ROW()-ROW($ES$2),$EP$3:$EP$25,0))),"",INDEX($EQ$3:$EQ$25,MATCH(ROW()-ROW($ES$2),$EP$3:$EP$25,0)))</f>
        <v/>
      </c>
      <c r="ET25" s="244"/>
      <c r="EU25" s="244"/>
      <c r="EV25" s="266"/>
      <c r="EW25" s="244"/>
      <c r="EX25" s="244"/>
      <c r="EY25" s="18" t="s">
        <v>392</v>
      </c>
      <c r="EZ25" s="18"/>
      <c r="FA25" s="27"/>
      <c r="FB25" s="77"/>
      <c r="FC25" s="77"/>
      <c r="FD25" s="77"/>
      <c r="FE25" s="77"/>
      <c r="FF25" s="77"/>
      <c r="FG25" s="77"/>
      <c r="FH25" s="77"/>
      <c r="FI25" s="77"/>
      <c r="FJ25" s="77"/>
      <c r="FK25" s="77"/>
      <c r="FL25" s="77"/>
      <c r="FM25" s="77"/>
      <c r="FN25" s="77"/>
      <c r="FO25" s="77"/>
      <c r="FP25" s="77"/>
      <c r="FQ25" s="77"/>
      <c r="FR25" s="77"/>
      <c r="FS25" s="77"/>
      <c r="FT25" s="77"/>
      <c r="FU25" s="77"/>
    </row>
    <row r="26" spans="1:180" ht="14.4" customHeight="1" thickBot="1">
      <c r="A26" s="468" t="str">
        <f>IF(B26&lt;&gt;"",SUM($B$19:B26),"")</f>
        <v/>
      </c>
      <c r="D26" s="24"/>
      <c r="I26" s="6"/>
      <c r="J26" s="5"/>
      <c r="K26" s="13" t="s">
        <v>208</v>
      </c>
      <c r="L26" s="105"/>
      <c r="M26" s="19"/>
      <c r="N26" s="222">
        <f>SUM(N19:N25)</f>
        <v>0</v>
      </c>
      <c r="O26" s="13" t="s">
        <v>208</v>
      </c>
      <c r="P26" s="105"/>
      <c r="Q26" s="19"/>
      <c r="R26" s="222">
        <f>SUM(R19:R25)</f>
        <v>0</v>
      </c>
      <c r="S26" s="21"/>
      <c r="T26" s="21"/>
      <c r="U26" s="21"/>
      <c r="V26" s="21"/>
      <c r="W26" s="21"/>
      <c r="X26" s="21"/>
      <c r="Y26" s="21"/>
      <c r="Z26" s="21"/>
      <c r="AA26" s="21"/>
      <c r="AB26" s="21"/>
      <c r="AC26" s="21"/>
      <c r="AD26" s="21"/>
      <c r="AE26" s="224"/>
      <c r="AF26" s="224"/>
      <c r="AG26" s="32"/>
      <c r="AJ26" s="77" t="str">
        <f t="shared" si="23"/>
        <v/>
      </c>
      <c r="AP26" s="326" t="s">
        <v>740</v>
      </c>
      <c r="AQ26" s="642">
        <f>+AI15</f>
        <v>0</v>
      </c>
      <c r="AR26" s="641">
        <f>365-AR25</f>
        <v>-45108</v>
      </c>
      <c r="AS26" s="244"/>
      <c r="AT26" s="244"/>
      <c r="AU26" s="244"/>
      <c r="AV26" s="596" t="s">
        <v>181</v>
      </c>
      <c r="AW26" s="315">
        <v>6</v>
      </c>
      <c r="AX26" s="316">
        <v>21</v>
      </c>
      <c r="AY26" s="225" t="s">
        <v>1</v>
      </c>
      <c r="AZ26" s="244"/>
      <c r="BA26" s="244"/>
      <c r="BB26" s="317" t="str">
        <f t="shared" si="6"/>
        <v>323-24</v>
      </c>
      <c r="BC26" s="226" t="s">
        <v>13</v>
      </c>
      <c r="BD26" s="226" t="s">
        <v>14</v>
      </c>
      <c r="BE26" s="226" t="s">
        <v>26</v>
      </c>
      <c r="BF26" s="226" t="s">
        <v>2</v>
      </c>
      <c r="BG26" s="155">
        <v>27.73</v>
      </c>
      <c r="BH26" s="155">
        <v>25.99</v>
      </c>
      <c r="BI26" s="155">
        <v>20.81</v>
      </c>
      <c r="BJ26" s="227" t="s">
        <v>18</v>
      </c>
      <c r="BK26" s="226"/>
      <c r="BL26" s="317" t="str">
        <f t="shared" si="7"/>
        <v>326</v>
      </c>
      <c r="BM26" s="356">
        <v>43282</v>
      </c>
      <c r="BN26" s="356">
        <v>43282</v>
      </c>
      <c r="BO26" s="360" t="s">
        <v>26</v>
      </c>
      <c r="BP26" s="358" t="s">
        <v>29</v>
      </c>
      <c r="BQ26" s="400">
        <v>27.84</v>
      </c>
      <c r="BR26" s="400">
        <v>26.09</v>
      </c>
      <c r="BS26" s="400">
        <v>20.92</v>
      </c>
      <c r="BT26" s="359">
        <v>3</v>
      </c>
      <c r="BU26" s="42"/>
      <c r="BV26" s="317" t="str">
        <f t="shared" si="8"/>
        <v>326</v>
      </c>
      <c r="BW26" s="356">
        <v>43282</v>
      </c>
      <c r="BX26" s="356">
        <v>43282</v>
      </c>
      <c r="BY26" s="360" t="s">
        <v>26</v>
      </c>
      <c r="BZ26" s="358" t="s">
        <v>29</v>
      </c>
      <c r="CA26" s="448">
        <v>30.11</v>
      </c>
      <c r="CB26" s="448">
        <v>28.22</v>
      </c>
      <c r="CC26" s="448">
        <v>22.63</v>
      </c>
      <c r="CD26" s="359">
        <v>3</v>
      </c>
      <c r="CE26" s="226"/>
      <c r="CF26" s="313" t="str">
        <f t="shared" si="13"/>
        <v>152</v>
      </c>
      <c r="CG26" s="356">
        <v>43282</v>
      </c>
      <c r="CH26" s="356">
        <v>43282</v>
      </c>
      <c r="CI26" s="370" t="s">
        <v>15</v>
      </c>
      <c r="CJ26" s="370"/>
      <c r="CK26" s="371">
        <v>5</v>
      </c>
      <c r="CL26" s="371">
        <v>2</v>
      </c>
      <c r="CM26" s="370">
        <v>1</v>
      </c>
      <c r="CN26" s="494">
        <f>'FPS Pivot Table'!D36</f>
        <v>78.59</v>
      </c>
      <c r="CO26" s="158"/>
      <c r="CP26" s="313" t="str">
        <f t="shared" si="14"/>
        <v>152</v>
      </c>
      <c r="CQ26" s="356">
        <v>43282</v>
      </c>
      <c r="CR26" s="356">
        <v>43282</v>
      </c>
      <c r="CS26" s="370" t="s">
        <v>15</v>
      </c>
      <c r="CT26" s="370"/>
      <c r="CU26" s="371">
        <v>5</v>
      </c>
      <c r="CV26" s="371">
        <v>2</v>
      </c>
      <c r="CW26" s="370">
        <v>1</v>
      </c>
      <c r="CX26" s="494">
        <f>'FPS Pivot Table'!E36</f>
        <v>81.73</v>
      </c>
      <c r="CY26" s="661">
        <f t="shared" si="15"/>
        <v>85</v>
      </c>
      <c r="CZ26" s="158"/>
      <c r="DA26" s="313" t="str">
        <f t="shared" si="9"/>
        <v>152</v>
      </c>
      <c r="DB26" s="356">
        <v>43282</v>
      </c>
      <c r="DC26" s="356">
        <v>43282</v>
      </c>
      <c r="DD26" s="371" t="s">
        <v>375</v>
      </c>
      <c r="DE26" s="371"/>
      <c r="DF26" s="371">
        <v>5</v>
      </c>
      <c r="DG26" s="371">
        <v>2</v>
      </c>
      <c r="DH26" s="371">
        <v>1</v>
      </c>
      <c r="DI26" s="494">
        <f>'FPS Pivot Table'!F36</f>
        <v>194.71</v>
      </c>
      <c r="DJ26" s="244"/>
      <c r="DK26" s="313" t="str">
        <f t="shared" si="10"/>
        <v>152</v>
      </c>
      <c r="DL26" s="356">
        <v>43282</v>
      </c>
      <c r="DM26" s="356">
        <v>43282</v>
      </c>
      <c r="DN26" s="371" t="s">
        <v>375</v>
      </c>
      <c r="DO26" s="371"/>
      <c r="DP26" s="371">
        <v>5</v>
      </c>
      <c r="DQ26" s="371">
        <v>2</v>
      </c>
      <c r="DR26" s="371">
        <v>1</v>
      </c>
      <c r="DS26" s="494">
        <f>'FPS Pivot Table'!G36</f>
        <v>202.5</v>
      </c>
      <c r="DT26" s="661">
        <f t="shared" si="16"/>
        <v>210.6</v>
      </c>
      <c r="DU26" s="244"/>
      <c r="DV26" s="244"/>
      <c r="DW26" s="244"/>
      <c r="DX26" s="244"/>
      <c r="DY26" s="244"/>
      <c r="DZ26" s="228" t="str">
        <f t="shared" si="11"/>
        <v>FrederickSupported Employment</v>
      </c>
      <c r="EA26" s="517" t="s">
        <v>166</v>
      </c>
      <c r="EB26" s="463" t="s">
        <v>152</v>
      </c>
      <c r="EC26" s="229">
        <v>23.43</v>
      </c>
      <c r="ED26" s="462">
        <v>28.64</v>
      </c>
      <c r="EE26" s="536">
        <f>'FY24_PCI2_Rates.locked v3'!$Q$16</f>
        <v>32.17</v>
      </c>
      <c r="EF26" s="661">
        <f t="shared" si="17"/>
        <v>33.46</v>
      </c>
      <c r="EG26" s="536"/>
      <c r="EH26" s="228" t="str">
        <f t="shared" si="12"/>
        <v>FrederickResidential</v>
      </c>
      <c r="EI26" s="228" t="s">
        <v>166</v>
      </c>
      <c r="EJ26" s="168" t="s">
        <v>376</v>
      </c>
      <c r="EK26" s="229">
        <v>21.09</v>
      </c>
      <c r="EL26" s="466">
        <v>25.78</v>
      </c>
      <c r="EM26" s="539">
        <f>'FY24_PCI2_Rates.locked v3'!$Q$23</f>
        <v>28.94</v>
      </c>
      <c r="EN26" s="661">
        <f t="shared" si="18"/>
        <v>30.1</v>
      </c>
      <c r="EO26" s="244"/>
      <c r="EP26" s="230" t="str">
        <f>IF(EQ26="","",MAX(EP$2:EP25)+1)</f>
        <v/>
      </c>
      <c r="EQ26" s="231" t="str">
        <f t="shared" si="28"/>
        <v/>
      </c>
      <c r="ER26" s="150" t="str">
        <f>IF(AND(Budget!$E$12="Self-Direction",Budget!$A$12="Community Supports Waiver"),Budget!EV26,IF(AND(Budget!$E$12="Traditional",Budget!$A$12="Community Supports Waiver"),Budget!EW29,IF(AND(Budget!$E$12="Self-Direction",Budget!$A$12="Family Supports Waiver"),Budget!EZ27,IF(AND(Budget!$E$12="Traditional",Budget!$A$12="Family Supports Waiver"),Budget!FA30,IF(AND(Budget!$E$12="Traditional",Budget!$A$12="Community Pathways Waiver"),Budget!EY26,IF(AND(Budget!$E$12="Self-Direction",Budget!$A$12="Community Pathways Waiver"),Budget!EX28,""))))))</f>
        <v/>
      </c>
      <c r="ES26" s="232" t="str">
        <f>IF(ISERROR(INDEX($EQ$3:$EQ$26,MATCH(ROW()-ROW($ES$2),$EP$3:$EP$26,0))),"",INDEX($EQ$3:$EQ$26,MATCH(ROW()-ROW($ES$2),$EP$3:$EP$26,0)))</f>
        <v/>
      </c>
      <c r="ET26" s="244"/>
      <c r="EU26" s="244"/>
      <c r="EV26" s="244"/>
      <c r="EW26" s="244"/>
      <c r="EX26" s="244"/>
      <c r="EY26" s="27" t="s">
        <v>389</v>
      </c>
      <c r="EZ26" s="244"/>
      <c r="FA26" s="18"/>
      <c r="FB26" s="77"/>
      <c r="FC26" s="77"/>
      <c r="FD26" s="77"/>
      <c r="FE26" s="77"/>
      <c r="FF26" s="77"/>
      <c r="FG26" s="77"/>
      <c r="FH26" s="77"/>
      <c r="FI26" s="77"/>
      <c r="FJ26" s="77"/>
      <c r="FK26" s="77"/>
      <c r="FL26" s="77"/>
      <c r="FM26" s="77"/>
      <c r="FN26" s="77"/>
      <c r="FO26" s="77"/>
      <c r="FP26" s="77"/>
      <c r="FQ26" s="77"/>
      <c r="FR26" s="77"/>
      <c r="FS26" s="77"/>
      <c r="FT26" s="77"/>
      <c r="FU26" s="77"/>
    </row>
    <row r="27" spans="1:180" ht="15" thickBot="1">
      <c r="A27" s="468" t="str">
        <f>IF(B27&lt;&gt;"",SUM($B$19:B27),"")</f>
        <v/>
      </c>
      <c r="H27" t="s">
        <v>487</v>
      </c>
      <c r="I27" s="5"/>
      <c r="J27" s="20"/>
      <c r="K27" s="20"/>
      <c r="L27" s="21"/>
      <c r="N27" s="77"/>
      <c r="O27" s="77"/>
      <c r="P27" s="77"/>
      <c r="Q27" s="77"/>
      <c r="AE27" s="224"/>
      <c r="AF27" s="224"/>
      <c r="AG27" s="32"/>
      <c r="AP27" s="244"/>
      <c r="AQ27" s="244"/>
      <c r="AR27" s="244"/>
      <c r="AS27" s="244"/>
      <c r="AT27" s="244"/>
      <c r="AU27" s="244"/>
      <c r="AV27" s="596" t="s">
        <v>177</v>
      </c>
      <c r="AW27" s="315">
        <v>3</v>
      </c>
      <c r="AX27" s="316">
        <v>22</v>
      </c>
      <c r="AY27" s="225" t="s">
        <v>1</v>
      </c>
      <c r="AZ27" s="244"/>
      <c r="BA27" s="244"/>
      <c r="BB27" s="317" t="str">
        <f t="shared" si="6"/>
        <v>325</v>
      </c>
      <c r="BC27" s="226" t="s">
        <v>13</v>
      </c>
      <c r="BD27" s="226" t="s">
        <v>14</v>
      </c>
      <c r="BE27" s="226" t="s">
        <v>26</v>
      </c>
      <c r="BF27" s="226" t="s">
        <v>28</v>
      </c>
      <c r="BG27" s="155">
        <v>26.84</v>
      </c>
      <c r="BH27" s="155">
        <v>25.15</v>
      </c>
      <c r="BI27" s="155">
        <v>20.149999999999999</v>
      </c>
      <c r="BJ27" s="227" t="s">
        <v>18</v>
      </c>
      <c r="BK27" s="226"/>
      <c r="BL27" s="317" t="str">
        <f t="shared" si="7"/>
        <v>325</v>
      </c>
      <c r="BM27" s="356">
        <v>43282</v>
      </c>
      <c r="BN27" s="356">
        <v>43282</v>
      </c>
      <c r="BO27" s="360" t="s">
        <v>26</v>
      </c>
      <c r="BP27" s="358" t="s">
        <v>28</v>
      </c>
      <c r="BQ27" s="400">
        <v>28.75</v>
      </c>
      <c r="BR27" s="400">
        <v>26.94</v>
      </c>
      <c r="BS27" s="400">
        <v>21.59</v>
      </c>
      <c r="BT27" s="359">
        <v>3</v>
      </c>
      <c r="BU27" s="42"/>
      <c r="BV27" s="317" t="str">
        <f t="shared" si="8"/>
        <v>325</v>
      </c>
      <c r="BW27" s="356">
        <v>43282</v>
      </c>
      <c r="BX27" s="356">
        <v>43282</v>
      </c>
      <c r="BY27" s="360" t="s">
        <v>26</v>
      </c>
      <c r="BZ27" s="358" t="s">
        <v>28</v>
      </c>
      <c r="CA27" s="448">
        <v>31.1</v>
      </c>
      <c r="CB27" s="448">
        <v>29.14</v>
      </c>
      <c r="CC27" s="448">
        <v>23.35</v>
      </c>
      <c r="CD27" s="359">
        <v>3</v>
      </c>
      <c r="CE27" s="226"/>
      <c r="CF27" s="313" t="str">
        <f t="shared" si="13"/>
        <v>153</v>
      </c>
      <c r="CG27" s="356">
        <v>43282</v>
      </c>
      <c r="CH27" s="356">
        <v>43282</v>
      </c>
      <c r="CI27" s="370" t="s">
        <v>15</v>
      </c>
      <c r="CJ27" s="370"/>
      <c r="CK27" s="371">
        <v>5</v>
      </c>
      <c r="CL27" s="371">
        <v>3</v>
      </c>
      <c r="CM27" s="370">
        <v>1</v>
      </c>
      <c r="CN27" s="494">
        <f>'FPS Pivot Table'!D37</f>
        <v>83.25</v>
      </c>
      <c r="CO27" s="158"/>
      <c r="CP27" s="313" t="str">
        <f t="shared" si="14"/>
        <v>153</v>
      </c>
      <c r="CQ27" s="356">
        <v>43282</v>
      </c>
      <c r="CR27" s="356">
        <v>43282</v>
      </c>
      <c r="CS27" s="370" t="s">
        <v>15</v>
      </c>
      <c r="CT27" s="370"/>
      <c r="CU27" s="371">
        <v>5</v>
      </c>
      <c r="CV27" s="371">
        <v>3</v>
      </c>
      <c r="CW27" s="370">
        <v>1</v>
      </c>
      <c r="CX27" s="494">
        <f>'FPS Pivot Table'!E37</f>
        <v>86.58</v>
      </c>
      <c r="CY27" s="661">
        <f t="shared" si="15"/>
        <v>90.04</v>
      </c>
      <c r="CZ27" s="158"/>
      <c r="DA27" s="313" t="str">
        <f t="shared" si="9"/>
        <v>153</v>
      </c>
      <c r="DB27" s="356">
        <v>43282</v>
      </c>
      <c r="DC27" s="356">
        <v>43282</v>
      </c>
      <c r="DD27" s="371" t="s">
        <v>375</v>
      </c>
      <c r="DE27" s="371"/>
      <c r="DF27" s="371">
        <v>5</v>
      </c>
      <c r="DG27" s="371">
        <v>3</v>
      </c>
      <c r="DH27" s="371">
        <v>1</v>
      </c>
      <c r="DI27" s="494">
        <f>'FPS Pivot Table'!F37</f>
        <v>198.81</v>
      </c>
      <c r="DJ27" s="244"/>
      <c r="DK27" s="313" t="str">
        <f t="shared" si="10"/>
        <v>153</v>
      </c>
      <c r="DL27" s="356">
        <v>43282</v>
      </c>
      <c r="DM27" s="356">
        <v>43282</v>
      </c>
      <c r="DN27" s="371" t="s">
        <v>375</v>
      </c>
      <c r="DO27" s="371"/>
      <c r="DP27" s="371">
        <v>5</v>
      </c>
      <c r="DQ27" s="371">
        <v>3</v>
      </c>
      <c r="DR27" s="371">
        <v>1</v>
      </c>
      <c r="DS27" s="494">
        <f>'FPS Pivot Table'!G37</f>
        <v>206.76</v>
      </c>
      <c r="DT27" s="661">
        <f t="shared" si="16"/>
        <v>215.03</v>
      </c>
      <c r="DU27" s="244"/>
      <c r="DV27" s="244"/>
      <c r="DW27" s="244" t="s">
        <v>487</v>
      </c>
      <c r="DX27" s="244"/>
      <c r="DY27" s="244"/>
      <c r="DZ27" s="228" t="str">
        <f t="shared" si="11"/>
        <v>GarrettDay</v>
      </c>
      <c r="EA27" s="518" t="s">
        <v>172</v>
      </c>
      <c r="EB27" s="463" t="s">
        <v>134</v>
      </c>
      <c r="EC27" s="229">
        <v>22.11</v>
      </c>
      <c r="ED27" s="462">
        <v>27.03</v>
      </c>
      <c r="EE27" s="536">
        <f>'FY24_PCI2_Rates.locked v3'!$Q$17</f>
        <v>30.36</v>
      </c>
      <c r="EF27" s="661">
        <f t="shared" si="17"/>
        <v>31.57</v>
      </c>
      <c r="EG27" s="536"/>
      <c r="EH27" s="228" t="str">
        <f t="shared" si="12"/>
        <v>GarrettResidential</v>
      </c>
      <c r="EI27" s="228" t="s">
        <v>172</v>
      </c>
      <c r="EJ27" s="168" t="s">
        <v>376</v>
      </c>
      <c r="EK27" s="229">
        <v>19.78</v>
      </c>
      <c r="EL27" s="466">
        <v>24.18</v>
      </c>
      <c r="EM27" s="539">
        <f>'FY24_PCI2_Rates.locked v3'!$Q$24</f>
        <v>27.15</v>
      </c>
      <c r="EN27" s="661">
        <f t="shared" si="18"/>
        <v>28.24</v>
      </c>
      <c r="EO27" s="244"/>
      <c r="EP27" s="230" t="str">
        <f>IF(EQ27="","",MAX(EP$2:EP26)+1)</f>
        <v/>
      </c>
      <c r="EQ27" s="231" t="str">
        <f t="shared" si="28"/>
        <v/>
      </c>
      <c r="ER27" s="150" t="str">
        <f>IF(AND(Budget!$E$12="Self-Direction",Budget!$A$12="Community Supports Waiver"),Budget!EV27,IF(AND(Budget!$E$12="Traditional",Budget!$A$12="Community Supports Waiver"),Budget!EW30,IF(AND(Budget!$E$12="Self-Direction",Budget!$A$12="Family Supports Waiver"),Budget!EZ28,IF(AND(Budget!$E$12="Traditional",Budget!$A$12="Family Supports Waiver"),Budget!FA31,IF(AND(Budget!$E$12="Traditional",Budget!$A$12="Community Pathways Waiver"),Budget!EY27,IF(AND(Budget!$E$12="Self-Direction",Budget!$A$12="Community Pathways Waiver"),Budget!EX29,""))))))</f>
        <v/>
      </c>
      <c r="ES27" s="232" t="str">
        <f>IF(ISERROR(INDEX($EQ$3:$EQ$19,MATCH(ROW()-ROW($ES$2),$EP$3:$EP$19,0))),"",INDEX($EQ$3:$EQ$19,MATCH(ROW()-ROW($ES$2),$EP$3:$EP$19,0)))</f>
        <v/>
      </c>
      <c r="ET27" s="244"/>
      <c r="EU27" s="244"/>
      <c r="EV27" s="244"/>
      <c r="EW27" s="244"/>
      <c r="EX27" s="244"/>
      <c r="EY27" s="18"/>
      <c r="EZ27" s="244"/>
      <c r="FA27" s="244"/>
      <c r="FB27" s="77"/>
      <c r="FC27" s="77"/>
      <c r="FD27" s="77"/>
      <c r="FE27" s="77"/>
      <c r="FF27" s="77"/>
      <c r="FG27" s="77"/>
      <c r="FH27" s="77"/>
      <c r="FI27" s="77"/>
      <c r="FJ27" s="77"/>
      <c r="FK27" s="77"/>
      <c r="FL27" s="77"/>
      <c r="FM27" s="77"/>
      <c r="FN27" s="77"/>
      <c r="FO27" s="77"/>
      <c r="FP27" s="77"/>
      <c r="FQ27" s="77"/>
      <c r="FR27" s="77"/>
      <c r="FS27" s="77"/>
      <c r="FT27" s="77"/>
      <c r="FU27" s="77"/>
    </row>
    <row r="28" spans="1:180" ht="19.5" customHeight="1" thickBot="1">
      <c r="A28" s="468" t="str">
        <f>IF(B28&lt;&gt;"",SUM($B$19:B28),"")</f>
        <v/>
      </c>
      <c r="D28" s="621" t="s">
        <v>514</v>
      </c>
      <c r="E28" s="621"/>
      <c r="F28" s="621"/>
      <c r="G28" s="621"/>
      <c r="H28" s="621"/>
      <c r="I28" s="622"/>
      <c r="J28" s="622"/>
      <c r="K28" s="622"/>
      <c r="L28" s="622"/>
      <c r="M28" s="622"/>
      <c r="N28" s="622"/>
      <c r="R28"/>
      <c r="S28"/>
      <c r="T28"/>
      <c r="U28"/>
      <c r="V28"/>
      <c r="W28"/>
      <c r="X28"/>
      <c r="Y28"/>
      <c r="Z28"/>
      <c r="AA28"/>
      <c r="AB28"/>
      <c r="AC28"/>
      <c r="AD28"/>
      <c r="AE28" s="224"/>
      <c r="AF28" s="224"/>
      <c r="AG28" s="32"/>
      <c r="AJ28" s="542" t="s">
        <v>226</v>
      </c>
      <c r="AK28" s="542"/>
      <c r="AL28" s="542"/>
      <c r="AM28" s="542"/>
      <c r="AN28" s="542"/>
      <c r="AO28" s="542"/>
      <c r="AP28" s="327" t="s">
        <v>237</v>
      </c>
      <c r="AQ28" s="319" t="s">
        <v>135</v>
      </c>
      <c r="AR28" s="319" t="s">
        <v>238</v>
      </c>
      <c r="AS28" s="244"/>
      <c r="AT28" s="244"/>
      <c r="AU28" s="244"/>
      <c r="AV28" s="597" t="s">
        <v>178</v>
      </c>
      <c r="AW28" s="328">
        <v>3</v>
      </c>
      <c r="AX28" s="316">
        <v>23</v>
      </c>
      <c r="AY28" s="225" t="s">
        <v>2</v>
      </c>
      <c r="AZ28" s="244"/>
      <c r="BA28" s="244"/>
      <c r="BB28" s="317" t="str">
        <f t="shared" si="6"/>
        <v>326</v>
      </c>
      <c r="BC28" s="226" t="s">
        <v>13</v>
      </c>
      <c r="BD28" s="226" t="s">
        <v>14</v>
      </c>
      <c r="BE28" s="226" t="s">
        <v>26</v>
      </c>
      <c r="BF28" s="226" t="s">
        <v>29</v>
      </c>
      <c r="BG28" s="155">
        <v>25.99</v>
      </c>
      <c r="BH28" s="155">
        <v>24.36</v>
      </c>
      <c r="BI28" s="155">
        <v>19.53</v>
      </c>
      <c r="BJ28" s="227" t="s">
        <v>18</v>
      </c>
      <c r="BK28" s="226"/>
      <c r="BL28" s="317" t="str">
        <f t="shared" si="7"/>
        <v>323-24</v>
      </c>
      <c r="BM28" s="356">
        <v>43282</v>
      </c>
      <c r="BN28" s="356">
        <v>43282</v>
      </c>
      <c r="BO28" s="360" t="s">
        <v>26</v>
      </c>
      <c r="BP28" s="358" t="s">
        <v>2</v>
      </c>
      <c r="BQ28" s="400">
        <v>29.7</v>
      </c>
      <c r="BR28" s="400">
        <v>27.84</v>
      </c>
      <c r="BS28" s="400">
        <v>22.29</v>
      </c>
      <c r="BT28" s="359">
        <v>3</v>
      </c>
      <c r="BU28" s="42"/>
      <c r="BV28" s="317" t="str">
        <f t="shared" si="8"/>
        <v>323-24</v>
      </c>
      <c r="BW28" s="356">
        <v>43282</v>
      </c>
      <c r="BX28" s="356">
        <v>43282</v>
      </c>
      <c r="BY28" s="360" t="s">
        <v>26</v>
      </c>
      <c r="BZ28" s="358" t="s">
        <v>2</v>
      </c>
      <c r="CA28" s="448">
        <v>32.130000000000003</v>
      </c>
      <c r="CB28" s="448">
        <v>30.11</v>
      </c>
      <c r="CC28" s="448">
        <v>24.11</v>
      </c>
      <c r="CD28" s="359">
        <v>3</v>
      </c>
      <c r="CE28" s="226"/>
      <c r="CF28" s="313" t="str">
        <f t="shared" si="13"/>
        <v>154</v>
      </c>
      <c r="CG28" s="356">
        <v>43282</v>
      </c>
      <c r="CH28" s="356">
        <v>43282</v>
      </c>
      <c r="CI28" s="370" t="s">
        <v>15</v>
      </c>
      <c r="CJ28" s="370"/>
      <c r="CK28" s="371">
        <v>5</v>
      </c>
      <c r="CL28" s="371">
        <v>4</v>
      </c>
      <c r="CM28" s="370">
        <v>1</v>
      </c>
      <c r="CN28" s="494">
        <f>'FPS Pivot Table'!D38</f>
        <v>89.55</v>
      </c>
      <c r="CO28" s="158"/>
      <c r="CP28" s="313" t="str">
        <f t="shared" si="14"/>
        <v>154</v>
      </c>
      <c r="CQ28" s="356">
        <v>43282</v>
      </c>
      <c r="CR28" s="356">
        <v>43282</v>
      </c>
      <c r="CS28" s="370" t="s">
        <v>15</v>
      </c>
      <c r="CT28" s="370"/>
      <c r="CU28" s="371">
        <v>5</v>
      </c>
      <c r="CV28" s="371">
        <v>4</v>
      </c>
      <c r="CW28" s="370">
        <v>1</v>
      </c>
      <c r="CX28" s="494">
        <f>'FPS Pivot Table'!E38</f>
        <v>93.13</v>
      </c>
      <c r="CY28" s="661">
        <f t="shared" si="15"/>
        <v>96.86</v>
      </c>
      <c r="CZ28" s="158"/>
      <c r="DA28" s="313" t="str">
        <f t="shared" si="9"/>
        <v>154</v>
      </c>
      <c r="DB28" s="356">
        <v>43282</v>
      </c>
      <c r="DC28" s="356">
        <v>43282</v>
      </c>
      <c r="DD28" s="371" t="s">
        <v>375</v>
      </c>
      <c r="DE28" s="371"/>
      <c r="DF28" s="371">
        <v>5</v>
      </c>
      <c r="DG28" s="371">
        <v>4</v>
      </c>
      <c r="DH28" s="371">
        <v>1</v>
      </c>
      <c r="DI28" s="494">
        <f>'FPS Pivot Table'!F38</f>
        <v>204.34</v>
      </c>
      <c r="DJ28" s="244"/>
      <c r="DK28" s="313" t="str">
        <f t="shared" si="10"/>
        <v>154</v>
      </c>
      <c r="DL28" s="356">
        <v>43282</v>
      </c>
      <c r="DM28" s="356">
        <v>43282</v>
      </c>
      <c r="DN28" s="371" t="s">
        <v>375</v>
      </c>
      <c r="DO28" s="371"/>
      <c r="DP28" s="371">
        <v>5</v>
      </c>
      <c r="DQ28" s="371">
        <v>4</v>
      </c>
      <c r="DR28" s="371">
        <v>1</v>
      </c>
      <c r="DS28" s="494">
        <f>'FPS Pivot Table'!G38</f>
        <v>212.51</v>
      </c>
      <c r="DT28" s="661">
        <f t="shared" si="16"/>
        <v>221.01</v>
      </c>
      <c r="DU28" s="244"/>
      <c r="DV28" s="244"/>
      <c r="DW28" s="244"/>
      <c r="DX28" s="244"/>
      <c r="DY28" s="244"/>
      <c r="DZ28" s="228" t="str">
        <f t="shared" si="11"/>
        <v>GarrettSupported Employment</v>
      </c>
      <c r="EA28" s="518" t="s">
        <v>172</v>
      </c>
      <c r="EB28" s="463" t="s">
        <v>152</v>
      </c>
      <c r="EC28" s="229">
        <v>22.11</v>
      </c>
      <c r="ED28" s="462">
        <v>27.03</v>
      </c>
      <c r="EE28" s="536">
        <f>'FY24_PCI2_Rates.locked v3'!$Q$17</f>
        <v>30.36</v>
      </c>
      <c r="EF28" s="661">
        <f t="shared" si="17"/>
        <v>31.57</v>
      </c>
      <c r="EG28" s="536"/>
      <c r="EH28" s="228" t="str">
        <f t="shared" si="12"/>
        <v>GarrettResidential</v>
      </c>
      <c r="EI28" s="228" t="s">
        <v>172</v>
      </c>
      <c r="EJ28" s="168" t="s">
        <v>376</v>
      </c>
      <c r="EK28" s="229">
        <v>19.78</v>
      </c>
      <c r="EL28" s="466">
        <v>24.18</v>
      </c>
      <c r="EM28" s="539">
        <f>'FY24_PCI2_Rates.locked v3'!$Q$24</f>
        <v>27.15</v>
      </c>
      <c r="EN28" s="661">
        <f t="shared" si="18"/>
        <v>28.24</v>
      </c>
      <c r="EO28" s="244"/>
      <c r="EP28" s="230" t="str">
        <f>IF(EQ28="","",MAX(EP$2:EP27)+1)</f>
        <v/>
      </c>
      <c r="EQ28" s="231" t="str">
        <f t="shared" si="28"/>
        <v/>
      </c>
      <c r="ER28" s="150" t="str">
        <f>IF(AND(Budget!$E$12="Self-Direction",Budget!$A$12="Community Supports Waiver"),Budget!EV28,IF(AND(Budget!$E$12="Traditional",Budget!$A$12="Community Supports Waiver"),Budget!EW31,IF(AND(Budget!$E$12="Self-Direction",Budget!$A$12="Family Supports Waiver"),Budget!EZ29,IF(AND(Budget!$E$12="Traditional",Budget!$A$12="Family Supports Waiver"),Budget!FA32,IF(AND(Budget!$E$12="Traditional",Budget!$A$12="Community Pathways Waiver"),Budget!EY30,IF(AND(Budget!$E$12="Self-Direction",Budget!$A$12="Community Pathways Waiver"),Budget!EX30,""))))))</f>
        <v/>
      </c>
      <c r="ES28" s="232" t="str">
        <f>IF(ISERROR(INDEX($EQ$3:$EQ$19,MATCH(ROW()-ROW($ES$2),$EP$3:$EP$19,0))),"",INDEX($EQ$3:$EQ$19,MATCH(ROW()-ROW($ES$2),$EP$3:$EP$19,0)))</f>
        <v/>
      </c>
      <c r="ET28" s="244"/>
      <c r="EU28" s="244"/>
      <c r="EV28" s="244"/>
      <c r="EW28" s="244"/>
      <c r="EX28" s="244"/>
      <c r="EY28" s="27"/>
      <c r="EZ28" s="244"/>
      <c r="FA28" s="244"/>
      <c r="FB28" s="77"/>
      <c r="FC28" s="77"/>
      <c r="FD28" s="77"/>
      <c r="FE28" s="77"/>
      <c r="FF28" s="77"/>
      <c r="FG28" s="77"/>
      <c r="FH28" s="77"/>
      <c r="FI28" s="77"/>
      <c r="FJ28" s="77"/>
      <c r="FK28" s="77"/>
      <c r="FL28" s="77"/>
      <c r="FM28" s="77"/>
      <c r="FN28" s="77"/>
      <c r="FO28" s="77" t="s">
        <v>487</v>
      </c>
      <c r="FP28" s="77"/>
      <c r="FQ28" s="77"/>
      <c r="FR28" s="77"/>
      <c r="FS28" s="77"/>
      <c r="FT28" s="77"/>
      <c r="FU28" s="77"/>
    </row>
    <row r="29" spans="1:180" ht="15.75" customHeight="1">
      <c r="D29" s="622"/>
      <c r="E29" s="622"/>
      <c r="F29" s="622"/>
      <c r="G29" s="622"/>
      <c r="H29" s="622"/>
      <c r="I29" s="622"/>
      <c r="J29" s="622"/>
      <c r="K29" s="622"/>
      <c r="L29" s="622"/>
      <c r="M29" s="622"/>
      <c r="N29" s="622"/>
      <c r="P29" s="74"/>
      <c r="Q29" s="74"/>
      <c r="R29"/>
      <c r="S29"/>
      <c r="T29"/>
      <c r="U29"/>
      <c r="V29"/>
      <c r="W29"/>
      <c r="X29"/>
      <c r="Y29"/>
      <c r="Z29"/>
      <c r="AA29"/>
      <c r="AB29"/>
      <c r="AC29"/>
      <c r="AD29"/>
      <c r="AE29" s="628" t="s">
        <v>247</v>
      </c>
      <c r="AF29" s="224"/>
      <c r="AG29" s="32"/>
      <c r="AJ29" s="522"/>
      <c r="AK29" s="529" t="s">
        <v>134</v>
      </c>
      <c r="AL29" s="185" t="s">
        <v>376</v>
      </c>
      <c r="AM29" s="529" t="s">
        <v>134</v>
      </c>
      <c r="AN29" s="185" t="s">
        <v>376</v>
      </c>
      <c r="AO29" s="523"/>
      <c r="AP29" s="569">
        <v>7</v>
      </c>
      <c r="AQ29" s="329" t="s">
        <v>184</v>
      </c>
      <c r="AR29" s="569">
        <v>31</v>
      </c>
      <c r="AS29" s="244"/>
      <c r="AT29" s="244"/>
      <c r="AU29" s="244"/>
      <c r="AV29" s="330"/>
      <c r="AW29" s="330"/>
      <c r="AX29" s="316">
        <v>24</v>
      </c>
      <c r="AY29" s="225" t="s">
        <v>2</v>
      </c>
      <c r="AZ29" s="244"/>
      <c r="BA29" s="244"/>
      <c r="BB29" s="317" t="str">
        <f t="shared" si="6"/>
        <v>327</v>
      </c>
      <c r="BC29" s="226" t="s">
        <v>13</v>
      </c>
      <c r="BD29" s="226" t="s">
        <v>14</v>
      </c>
      <c r="BE29" s="226" t="s">
        <v>26</v>
      </c>
      <c r="BF29" s="226" t="s">
        <v>30</v>
      </c>
      <c r="BG29" s="155">
        <v>25.22</v>
      </c>
      <c r="BH29" s="155">
        <v>23.63</v>
      </c>
      <c r="BI29" s="155">
        <v>18.93</v>
      </c>
      <c r="BJ29" s="227" t="s">
        <v>18</v>
      </c>
      <c r="BK29" s="226"/>
      <c r="BL29" s="317" t="str">
        <f t="shared" si="7"/>
        <v>320-22</v>
      </c>
      <c r="BM29" s="356">
        <v>43282</v>
      </c>
      <c r="BN29" s="356">
        <v>43282</v>
      </c>
      <c r="BO29" s="360" t="s">
        <v>26</v>
      </c>
      <c r="BP29" s="358" t="s">
        <v>1</v>
      </c>
      <c r="BQ29" s="400">
        <v>30.73</v>
      </c>
      <c r="BR29" s="400">
        <v>28.81</v>
      </c>
      <c r="BS29" s="400">
        <v>23.08</v>
      </c>
      <c r="BT29" s="359">
        <v>3</v>
      </c>
      <c r="BU29" s="42"/>
      <c r="BV29" s="317" t="str">
        <f t="shared" si="8"/>
        <v>320-22</v>
      </c>
      <c r="BW29" s="356">
        <v>43282</v>
      </c>
      <c r="BX29" s="356">
        <v>43282</v>
      </c>
      <c r="BY29" s="360" t="s">
        <v>26</v>
      </c>
      <c r="BZ29" s="358" t="s">
        <v>1</v>
      </c>
      <c r="CA29" s="448">
        <v>33.24</v>
      </c>
      <c r="CB29" s="448">
        <v>31.16</v>
      </c>
      <c r="CC29" s="448">
        <v>24.96</v>
      </c>
      <c r="CD29" s="359">
        <v>3</v>
      </c>
      <c r="CE29" s="226"/>
      <c r="CF29" s="313" t="str">
        <f t="shared" si="13"/>
        <v>155</v>
      </c>
      <c r="CG29" s="356">
        <v>43282</v>
      </c>
      <c r="CH29" s="356">
        <v>43282</v>
      </c>
      <c r="CI29" s="370" t="s">
        <v>15</v>
      </c>
      <c r="CJ29" s="370"/>
      <c r="CK29" s="371">
        <v>5</v>
      </c>
      <c r="CL29" s="371">
        <v>5</v>
      </c>
      <c r="CM29" s="370">
        <v>1</v>
      </c>
      <c r="CN29" s="494">
        <f>'FPS Pivot Table'!D39</f>
        <v>95.09</v>
      </c>
      <c r="CO29" s="158"/>
      <c r="CP29" s="313" t="str">
        <f t="shared" si="14"/>
        <v>155</v>
      </c>
      <c r="CQ29" s="356">
        <v>43282</v>
      </c>
      <c r="CR29" s="356">
        <v>43282</v>
      </c>
      <c r="CS29" s="370" t="s">
        <v>15</v>
      </c>
      <c r="CT29" s="370"/>
      <c r="CU29" s="371">
        <v>5</v>
      </c>
      <c r="CV29" s="371">
        <v>5</v>
      </c>
      <c r="CW29" s="370">
        <v>1</v>
      </c>
      <c r="CX29" s="494">
        <f>'FPS Pivot Table'!E39</f>
        <v>98.89</v>
      </c>
      <c r="CY29" s="661">
        <f t="shared" si="15"/>
        <v>102.85</v>
      </c>
      <c r="CZ29" s="158"/>
      <c r="DA29" s="313" t="str">
        <f t="shared" si="9"/>
        <v>155</v>
      </c>
      <c r="DB29" s="356">
        <v>43282</v>
      </c>
      <c r="DC29" s="356">
        <v>43282</v>
      </c>
      <c r="DD29" s="371" t="s">
        <v>375</v>
      </c>
      <c r="DE29" s="371"/>
      <c r="DF29" s="371">
        <v>5</v>
      </c>
      <c r="DG29" s="371">
        <v>5</v>
      </c>
      <c r="DH29" s="371">
        <v>1</v>
      </c>
      <c r="DI29" s="494">
        <f>'FPS Pivot Table'!F39</f>
        <v>209.21</v>
      </c>
      <c r="DJ29" s="244"/>
      <c r="DK29" s="313" t="str">
        <f t="shared" si="10"/>
        <v>155</v>
      </c>
      <c r="DL29" s="356">
        <v>43282</v>
      </c>
      <c r="DM29" s="356">
        <v>43282</v>
      </c>
      <c r="DN29" s="371" t="s">
        <v>375</v>
      </c>
      <c r="DO29" s="371"/>
      <c r="DP29" s="371">
        <v>5</v>
      </c>
      <c r="DQ29" s="371">
        <v>5</v>
      </c>
      <c r="DR29" s="371">
        <v>1</v>
      </c>
      <c r="DS29" s="494">
        <f>'FPS Pivot Table'!G39</f>
        <v>217.58</v>
      </c>
      <c r="DT29" s="661">
        <f t="shared" si="16"/>
        <v>226.28</v>
      </c>
      <c r="DU29" s="244"/>
      <c r="DV29" s="244"/>
      <c r="DW29" s="244"/>
      <c r="DX29" s="244"/>
      <c r="DY29" s="244"/>
      <c r="DZ29" s="228" t="str">
        <f t="shared" si="11"/>
        <v>HarfordDay</v>
      </c>
      <c r="EA29" s="516" t="s">
        <v>161</v>
      </c>
      <c r="EB29" s="463" t="s">
        <v>134</v>
      </c>
      <c r="EC29" s="229">
        <v>22.11</v>
      </c>
      <c r="ED29" s="462">
        <v>27.03</v>
      </c>
      <c r="EE29" s="536">
        <f>'FY24_PCI2_Rates.locked v3'!$Q$15</f>
        <v>30.36</v>
      </c>
      <c r="EF29" s="661">
        <f t="shared" si="17"/>
        <v>31.57</v>
      </c>
      <c r="EG29" s="536"/>
      <c r="EH29" s="228" t="str">
        <f t="shared" si="12"/>
        <v>HarfordResidential</v>
      </c>
      <c r="EI29" s="228" t="s">
        <v>161</v>
      </c>
      <c r="EJ29" s="168" t="s">
        <v>376</v>
      </c>
      <c r="EK29" s="229">
        <v>19.78</v>
      </c>
      <c r="EL29" s="466">
        <v>24.18</v>
      </c>
      <c r="EM29" s="539">
        <f>'FY24_PCI2_Rates.locked v3'!$Q$22</f>
        <v>27.15</v>
      </c>
      <c r="EN29" s="661">
        <f t="shared" si="18"/>
        <v>28.24</v>
      </c>
      <c r="EO29" s="244"/>
      <c r="EP29" s="244"/>
      <c r="EQ29" s="244"/>
      <c r="ER29" s="244"/>
      <c r="ES29" s="232" t="str">
        <f>IF(ISERROR(INDEX($EQ$3:$EQ$18,MATCH(ROW()-ROW($ES$2),$EP$3:$EP$18,0))),"",INDEX($EQ$3:$EQ$18,MATCH(ROW()-ROW($ES$2),$EP$3:$EP$18,0)))</f>
        <v/>
      </c>
      <c r="ET29" s="244"/>
      <c r="EU29" s="244"/>
      <c r="EV29" s="244"/>
      <c r="EW29" s="244"/>
      <c r="EX29" s="244"/>
      <c r="EY29" s="18"/>
      <c r="EZ29" s="18"/>
      <c r="FA29" s="244"/>
      <c r="FB29" s="77"/>
      <c r="FC29" s="77"/>
      <c r="FD29" s="77"/>
      <c r="FE29" s="77"/>
      <c r="FF29" s="77"/>
      <c r="FG29" s="77"/>
      <c r="FH29" s="77"/>
      <c r="FI29" s="77"/>
      <c r="FJ29" s="77"/>
      <c r="FK29" s="77"/>
      <c r="FL29" s="77"/>
      <c r="FM29" s="77"/>
      <c r="FN29" s="77"/>
      <c r="FO29" s="77"/>
      <c r="FP29" s="77"/>
      <c r="FQ29" s="77"/>
      <c r="FR29" s="77"/>
      <c r="FS29" s="77"/>
      <c r="FT29" s="77"/>
      <c r="FU29" s="77"/>
    </row>
    <row r="30" spans="1:180" ht="15.75" customHeight="1" thickBot="1">
      <c r="A30" s="468" t="str">
        <f>IF(B30&lt;&gt;"",SUM($B$19:B30),"")</f>
        <v/>
      </c>
      <c r="B30" s="468" t="str">
        <f>IF(OR(D30="Individual and Family Directed Goods &amp; Services",D30="Personal Supports"),"",IF(D30&lt;&gt;"",1,""))</f>
        <v/>
      </c>
      <c r="D30" s="622"/>
      <c r="E30" s="622"/>
      <c r="F30" s="622"/>
      <c r="G30" s="622"/>
      <c r="H30" s="622"/>
      <c r="I30" s="622"/>
      <c r="J30" s="622"/>
      <c r="K30" s="622"/>
      <c r="L30" s="622"/>
      <c r="M30" s="622"/>
      <c r="N30" s="622"/>
      <c r="P30" s="6"/>
      <c r="R30"/>
      <c r="S30"/>
      <c r="T30"/>
      <c r="U30"/>
      <c r="V30"/>
      <c r="W30"/>
      <c r="X30"/>
      <c r="Y30"/>
      <c r="Z30"/>
      <c r="AA30"/>
      <c r="AB30"/>
      <c r="AC30"/>
      <c r="AD30"/>
      <c r="AE30" s="628">
        <f>((J30+M30)/4)/((($G$30+1)-$F$30)/7)</f>
        <v>0</v>
      </c>
      <c r="AF30" s="224"/>
      <c r="AG30" s="32"/>
      <c r="AJ30" s="524" t="s">
        <v>241</v>
      </c>
      <c r="AK30" s="528">
        <f>AP18</f>
        <v>40.21</v>
      </c>
      <c r="AL30" s="528">
        <f>AQ18</f>
        <v>72.63</v>
      </c>
      <c r="AM30" s="721" t="s">
        <v>711</v>
      </c>
      <c r="AN30" s="721"/>
      <c r="AO30" s="525"/>
      <c r="AP30" s="570">
        <v>8</v>
      </c>
      <c r="AQ30" s="331" t="s">
        <v>185</v>
      </c>
      <c r="AR30" s="570">
        <v>31</v>
      </c>
      <c r="AS30" s="244"/>
      <c r="AT30" s="244"/>
      <c r="AU30" s="244"/>
      <c r="AV30" s="244"/>
      <c r="AW30" s="244"/>
      <c r="AX30" s="316">
        <v>25</v>
      </c>
      <c r="AY30" s="225" t="s">
        <v>28</v>
      </c>
      <c r="AZ30" s="244"/>
      <c r="BA30" s="244"/>
      <c r="BB30" s="317" t="str">
        <f t="shared" si="6"/>
        <v>328-82</v>
      </c>
      <c r="BC30" s="226" t="s">
        <v>13</v>
      </c>
      <c r="BD30" s="226" t="s">
        <v>14</v>
      </c>
      <c r="BE30" s="226" t="s">
        <v>26</v>
      </c>
      <c r="BF30" s="226" t="s">
        <v>3</v>
      </c>
      <c r="BG30" s="155">
        <v>24.85</v>
      </c>
      <c r="BH30" s="155">
        <v>23.29</v>
      </c>
      <c r="BI30" s="155">
        <v>18.670000000000002</v>
      </c>
      <c r="BJ30" s="227" t="s">
        <v>18</v>
      </c>
      <c r="BK30" s="226"/>
      <c r="BL30" s="317" t="str">
        <f t="shared" si="7"/>
        <v>31-19</v>
      </c>
      <c r="BM30" s="356">
        <v>43282</v>
      </c>
      <c r="BN30" s="356">
        <v>43282</v>
      </c>
      <c r="BO30" s="360" t="s">
        <v>26</v>
      </c>
      <c r="BP30" s="358" t="s">
        <v>0</v>
      </c>
      <c r="BQ30" s="400">
        <v>32.14</v>
      </c>
      <c r="BR30" s="400">
        <v>29.9</v>
      </c>
      <c r="BS30" s="400">
        <v>23.96</v>
      </c>
      <c r="BT30" s="359">
        <v>3</v>
      </c>
      <c r="BU30" s="42"/>
      <c r="BV30" s="317" t="str">
        <f t="shared" si="8"/>
        <v>31-19</v>
      </c>
      <c r="BW30" s="356">
        <v>43282</v>
      </c>
      <c r="BX30" s="356">
        <v>43282</v>
      </c>
      <c r="BY30" s="360" t="s">
        <v>26</v>
      </c>
      <c r="BZ30" s="358" t="s">
        <v>0</v>
      </c>
      <c r="CA30" s="448">
        <v>34.770000000000003</v>
      </c>
      <c r="CB30" s="448">
        <v>32.340000000000003</v>
      </c>
      <c r="CC30" s="448">
        <v>25.92</v>
      </c>
      <c r="CD30" s="359">
        <v>3</v>
      </c>
      <c r="CE30" s="226"/>
      <c r="CF30" s="313" t="str">
        <f t="shared" si="13"/>
        <v>211</v>
      </c>
      <c r="CG30" s="356">
        <v>43282</v>
      </c>
      <c r="CH30" s="356">
        <v>43282</v>
      </c>
      <c r="CI30" s="370" t="s">
        <v>15</v>
      </c>
      <c r="CJ30" s="370"/>
      <c r="CK30" s="371">
        <v>1</v>
      </c>
      <c r="CL30" s="371">
        <v>1</v>
      </c>
      <c r="CM30" s="370">
        <v>2</v>
      </c>
      <c r="CN30" s="494">
        <f>'FPS Pivot Table'!D40</f>
        <v>29.87</v>
      </c>
      <c r="CO30" s="158"/>
      <c r="CP30" s="313" t="str">
        <f t="shared" si="14"/>
        <v>211</v>
      </c>
      <c r="CQ30" s="356">
        <v>43282</v>
      </c>
      <c r="CR30" s="356">
        <v>43282</v>
      </c>
      <c r="CS30" s="370" t="s">
        <v>15</v>
      </c>
      <c r="CT30" s="370"/>
      <c r="CU30" s="371">
        <v>1</v>
      </c>
      <c r="CV30" s="371">
        <v>1</v>
      </c>
      <c r="CW30" s="370">
        <v>2</v>
      </c>
      <c r="CX30" s="494">
        <f>'FPS Pivot Table'!E40</f>
        <v>31.07</v>
      </c>
      <c r="CY30" s="661">
        <f t="shared" si="15"/>
        <v>32.31</v>
      </c>
      <c r="CZ30" s="158"/>
      <c r="DA30" s="313" t="str">
        <f t="shared" si="9"/>
        <v>211</v>
      </c>
      <c r="DB30" s="356">
        <v>43282</v>
      </c>
      <c r="DC30" s="356">
        <v>43282</v>
      </c>
      <c r="DD30" s="371" t="s">
        <v>375</v>
      </c>
      <c r="DE30" s="377"/>
      <c r="DF30" s="377">
        <v>1</v>
      </c>
      <c r="DG30" s="377">
        <v>1</v>
      </c>
      <c r="DH30" s="377">
        <v>2</v>
      </c>
      <c r="DI30" s="494">
        <f>'FPS Pivot Table'!F40</f>
        <v>29.26</v>
      </c>
      <c r="DJ30" s="244"/>
      <c r="DK30" s="313" t="str">
        <f t="shared" si="10"/>
        <v>211</v>
      </c>
      <c r="DL30" s="356">
        <v>43282</v>
      </c>
      <c r="DM30" s="356">
        <v>43282</v>
      </c>
      <c r="DN30" s="371" t="s">
        <v>375</v>
      </c>
      <c r="DO30" s="377"/>
      <c r="DP30" s="377">
        <v>1</v>
      </c>
      <c r="DQ30" s="377">
        <v>1</v>
      </c>
      <c r="DR30" s="377">
        <v>2</v>
      </c>
      <c r="DS30" s="494">
        <f>'FPS Pivot Table'!G40</f>
        <v>30.42</v>
      </c>
      <c r="DT30" s="661">
        <f t="shared" si="16"/>
        <v>31.64</v>
      </c>
      <c r="DU30" s="244"/>
      <c r="DV30" s="244"/>
      <c r="DW30" s="244"/>
      <c r="DX30" s="244"/>
      <c r="DY30" s="244"/>
      <c r="DZ30" s="228" t="str">
        <f t="shared" si="11"/>
        <v>HarfordSupported Employment</v>
      </c>
      <c r="EA30" s="516" t="s">
        <v>161</v>
      </c>
      <c r="EB30" s="463" t="s">
        <v>152</v>
      </c>
      <c r="EC30" s="229">
        <v>22.11</v>
      </c>
      <c r="ED30" s="462">
        <v>27.03</v>
      </c>
      <c r="EE30" s="536">
        <f>'FY24_PCI2_Rates.locked v3'!$Q$15</f>
        <v>30.36</v>
      </c>
      <c r="EF30" s="661">
        <f t="shared" si="17"/>
        <v>31.57</v>
      </c>
      <c r="EG30" s="536"/>
      <c r="EH30" s="228" t="str">
        <f t="shared" si="12"/>
        <v>HarfordResidential</v>
      </c>
      <c r="EI30" s="228" t="s">
        <v>161</v>
      </c>
      <c r="EJ30" s="168" t="s">
        <v>376</v>
      </c>
      <c r="EK30" s="229">
        <v>19.78</v>
      </c>
      <c r="EL30" s="466">
        <v>24.18</v>
      </c>
      <c r="EM30" s="539">
        <f>'FY24_PCI2_Rates.locked v3'!$Q$22</f>
        <v>27.15</v>
      </c>
      <c r="EN30" s="661">
        <f t="shared" si="18"/>
        <v>28.24</v>
      </c>
      <c r="EO30" s="244"/>
      <c r="EP30" s="244"/>
      <c r="EQ30" s="244" t="s">
        <v>487</v>
      </c>
      <c r="ER30" s="244"/>
      <c r="ES30" s="244"/>
      <c r="ET30" s="244"/>
      <c r="EU30" s="244"/>
      <c r="EV30" s="244"/>
      <c r="EW30" s="244"/>
      <c r="EX30" s="244"/>
      <c r="EY30" s="244"/>
      <c r="EZ30" s="27"/>
      <c r="FA30" s="18"/>
      <c r="FB30" s="77"/>
      <c r="FC30" s="77"/>
      <c r="FD30" s="77"/>
      <c r="FE30" s="77"/>
      <c r="FF30" s="77"/>
      <c r="FG30" s="77"/>
      <c r="FH30" s="77"/>
      <c r="FI30" s="77"/>
      <c r="FJ30" s="77"/>
      <c r="FK30" s="77"/>
      <c r="FL30" s="77"/>
      <c r="FM30" s="77"/>
      <c r="FN30" s="77"/>
      <c r="FO30" s="77"/>
      <c r="FP30" s="77"/>
      <c r="FQ30" s="77"/>
      <c r="FR30" s="77"/>
      <c r="FS30" s="77"/>
      <c r="FT30" s="77"/>
      <c r="FU30" s="77"/>
      <c r="FV30" s="77"/>
      <c r="FW30" s="77"/>
    </row>
    <row r="31" spans="1:180" ht="15" thickBot="1">
      <c r="A31" s="468" t="str">
        <f>IF(B31&lt;&gt;"",SUM($B$19:B31),"")</f>
        <v/>
      </c>
      <c r="D31" s="205"/>
      <c r="H31" s="7"/>
      <c r="I31" s="274"/>
      <c r="J31" s="206"/>
      <c r="K31" s="6"/>
      <c r="L31" s="664"/>
      <c r="M31" s="6"/>
      <c r="P31" s="77"/>
      <c r="Q31" s="77"/>
      <c r="AE31" s="629" t="s">
        <v>433</v>
      </c>
      <c r="AF31" s="224"/>
      <c r="AG31" s="32"/>
      <c r="AJ31" s="524" t="s">
        <v>518</v>
      </c>
      <c r="AK31" s="528">
        <f>'FY24_PCI2_Rates.locked v3'!L14</f>
        <v>44.8</v>
      </c>
      <c r="AL31" s="528">
        <f>'FY24_PCI2_Rates.locked v3'!L15</f>
        <v>80.92</v>
      </c>
      <c r="AM31" s="532">
        <f>AK31/AK30-1</f>
        <v>0.11415070877891065</v>
      </c>
      <c r="AN31" s="532">
        <f t="shared" ref="AN31:AN33" si="31">AL31/AL30-1</f>
        <v>0.11414016246730019</v>
      </c>
      <c r="AO31" s="525"/>
      <c r="AP31" s="570">
        <v>9</v>
      </c>
      <c r="AQ31" s="331" t="s">
        <v>186</v>
      </c>
      <c r="AR31" s="570">
        <v>30</v>
      </c>
      <c r="AS31" s="326" t="s">
        <v>455</v>
      </c>
      <c r="AT31" s="349"/>
      <c r="AU31" s="244"/>
      <c r="AV31" s="244"/>
      <c r="AW31" s="244"/>
      <c r="AX31" s="316">
        <v>26</v>
      </c>
      <c r="AY31" s="225" t="s">
        <v>29</v>
      </c>
      <c r="AZ31" s="244"/>
      <c r="BA31" s="244"/>
      <c r="BB31" s="317" t="str">
        <f t="shared" si="6"/>
        <v>383-168</v>
      </c>
      <c r="BC31" s="226" t="s">
        <v>13</v>
      </c>
      <c r="BD31" s="226" t="s">
        <v>14</v>
      </c>
      <c r="BE31" s="226" t="s">
        <v>26</v>
      </c>
      <c r="BF31" s="226" t="s">
        <v>4</v>
      </c>
      <c r="BG31" s="155">
        <v>18.670000000000002</v>
      </c>
      <c r="BH31" s="155">
        <v>18.670000000000002</v>
      </c>
      <c r="BI31" s="155">
        <v>18.670000000000002</v>
      </c>
      <c r="BJ31" s="227" t="s">
        <v>18</v>
      </c>
      <c r="BK31" s="226"/>
      <c r="BL31" s="317" t="str">
        <f t="shared" si="7"/>
        <v>30</v>
      </c>
      <c r="BM31" s="356">
        <v>43282</v>
      </c>
      <c r="BN31" s="356">
        <v>43282</v>
      </c>
      <c r="BO31" s="360" t="s">
        <v>26</v>
      </c>
      <c r="BP31" s="358" t="s">
        <v>27</v>
      </c>
      <c r="BQ31" s="360">
        <v>0</v>
      </c>
      <c r="BR31" s="360">
        <v>0</v>
      </c>
      <c r="BS31" s="360">
        <v>0</v>
      </c>
      <c r="BT31" s="359">
        <v>3</v>
      </c>
      <c r="BU31" s="42"/>
      <c r="BV31" s="317" t="str">
        <f t="shared" si="8"/>
        <v>30</v>
      </c>
      <c r="BW31" s="356">
        <v>43282</v>
      </c>
      <c r="BX31" s="356">
        <v>43282</v>
      </c>
      <c r="BY31" s="360" t="s">
        <v>26</v>
      </c>
      <c r="BZ31" s="358" t="s">
        <v>27</v>
      </c>
      <c r="CA31" s="360">
        <v>0</v>
      </c>
      <c r="CB31" s="360">
        <v>0</v>
      </c>
      <c r="CC31" s="360">
        <v>0</v>
      </c>
      <c r="CD31" s="359">
        <v>3</v>
      </c>
      <c r="CE31" s="226"/>
      <c r="CF31" s="313" t="str">
        <f t="shared" si="13"/>
        <v>212</v>
      </c>
      <c r="CG31" s="356">
        <v>43282</v>
      </c>
      <c r="CH31" s="356">
        <v>43282</v>
      </c>
      <c r="CI31" s="370" t="s">
        <v>15</v>
      </c>
      <c r="CJ31" s="370"/>
      <c r="CK31" s="371">
        <v>1</v>
      </c>
      <c r="CL31" s="371">
        <v>2</v>
      </c>
      <c r="CM31" s="370">
        <v>2</v>
      </c>
      <c r="CN31" s="494">
        <f>'FPS Pivot Table'!D41</f>
        <v>32.97</v>
      </c>
      <c r="CO31" s="158"/>
      <c r="CP31" s="313" t="str">
        <f t="shared" si="14"/>
        <v>212</v>
      </c>
      <c r="CQ31" s="356">
        <v>43282</v>
      </c>
      <c r="CR31" s="356">
        <v>43282</v>
      </c>
      <c r="CS31" s="370" t="s">
        <v>15</v>
      </c>
      <c r="CT31" s="370"/>
      <c r="CU31" s="371">
        <v>1</v>
      </c>
      <c r="CV31" s="371">
        <v>2</v>
      </c>
      <c r="CW31" s="370">
        <v>2</v>
      </c>
      <c r="CX31" s="494">
        <f>'FPS Pivot Table'!E41</f>
        <v>34.29</v>
      </c>
      <c r="CY31" s="661">
        <f t="shared" si="15"/>
        <v>35.659999999999997</v>
      </c>
      <c r="CZ31" s="158"/>
      <c r="DA31" s="313" t="str">
        <f t="shared" si="9"/>
        <v>212</v>
      </c>
      <c r="DB31" s="356">
        <v>43282</v>
      </c>
      <c r="DC31" s="356">
        <v>43282</v>
      </c>
      <c r="DD31" s="371" t="s">
        <v>375</v>
      </c>
      <c r="DE31" s="377"/>
      <c r="DF31" s="377">
        <v>1</v>
      </c>
      <c r="DG31" s="377">
        <v>2</v>
      </c>
      <c r="DH31" s="377">
        <v>2</v>
      </c>
      <c r="DI31" s="494">
        <f>'FPS Pivot Table'!F41</f>
        <v>31.99</v>
      </c>
      <c r="DJ31" s="244"/>
      <c r="DK31" s="313" t="str">
        <f t="shared" si="10"/>
        <v>212</v>
      </c>
      <c r="DL31" s="356">
        <v>43282</v>
      </c>
      <c r="DM31" s="356">
        <v>43282</v>
      </c>
      <c r="DN31" s="371" t="s">
        <v>375</v>
      </c>
      <c r="DO31" s="377"/>
      <c r="DP31" s="377">
        <v>1</v>
      </c>
      <c r="DQ31" s="377">
        <v>2</v>
      </c>
      <c r="DR31" s="377">
        <v>2</v>
      </c>
      <c r="DS31" s="494">
        <f>'FPS Pivot Table'!G41</f>
        <v>33.270000000000003</v>
      </c>
      <c r="DT31" s="661">
        <f t="shared" si="16"/>
        <v>34.6</v>
      </c>
      <c r="DU31" s="244"/>
      <c r="DV31" s="244"/>
      <c r="DW31" s="244"/>
      <c r="DX31" s="244"/>
      <c r="DY31" s="244"/>
      <c r="DZ31" s="228" t="str">
        <f t="shared" si="11"/>
        <v>HowardDay</v>
      </c>
      <c r="EA31" s="516" t="s">
        <v>162</v>
      </c>
      <c r="EB31" s="463" t="s">
        <v>134</v>
      </c>
      <c r="EC31" s="229">
        <v>22.11</v>
      </c>
      <c r="ED31" s="462">
        <v>27.03</v>
      </c>
      <c r="EE31" s="536">
        <f>'FY24_PCI2_Rates.locked v3'!$Q$15</f>
        <v>30.36</v>
      </c>
      <c r="EF31" s="661">
        <f t="shared" si="17"/>
        <v>31.57</v>
      </c>
      <c r="EG31" s="536"/>
      <c r="EH31" s="228" t="str">
        <f t="shared" si="12"/>
        <v>HowardResidential</v>
      </c>
      <c r="EI31" s="228" t="s">
        <v>162</v>
      </c>
      <c r="EJ31" s="168" t="s">
        <v>376</v>
      </c>
      <c r="EK31" s="229">
        <v>19.78</v>
      </c>
      <c r="EL31" s="466">
        <v>24.18</v>
      </c>
      <c r="EM31" s="539">
        <f>'FY24_PCI2_Rates.locked v3'!$Q$22</f>
        <v>27.15</v>
      </c>
      <c r="EN31" s="661">
        <f t="shared" si="18"/>
        <v>28.24</v>
      </c>
      <c r="EO31" s="244"/>
      <c r="EP31" s="244"/>
      <c r="EQ31" s="244"/>
      <c r="ER31" s="244"/>
      <c r="ES31" s="244"/>
      <c r="ET31" s="244"/>
      <c r="EU31" s="244"/>
      <c r="EV31" s="244"/>
      <c r="EW31" s="244"/>
      <c r="EX31" s="244"/>
      <c r="EY31" s="244"/>
      <c r="EZ31" s="18"/>
      <c r="FA31" s="27"/>
      <c r="FB31" s="77"/>
      <c r="FC31" s="77"/>
      <c r="FD31" s="77"/>
      <c r="FE31" s="77"/>
      <c r="FF31" s="77"/>
      <c r="FG31" s="77"/>
      <c r="FH31" s="77"/>
      <c r="FI31" s="77"/>
      <c r="FJ31" s="77"/>
      <c r="FK31" s="77"/>
      <c r="FL31" s="77"/>
      <c r="FM31" s="77"/>
      <c r="FN31" s="77"/>
      <c r="FO31" s="77"/>
      <c r="FP31" s="77"/>
      <c r="FQ31" s="77"/>
      <c r="FR31" s="77"/>
      <c r="FS31" s="77"/>
      <c r="FT31" s="77"/>
      <c r="FU31" s="77"/>
      <c r="FV31" s="77"/>
      <c r="FW31" s="77"/>
    </row>
    <row r="32" spans="1:180" ht="19.5" customHeight="1" thickBot="1">
      <c r="A32" s="468" t="str">
        <f>IF(B32&lt;&gt;"",SUM($B$19:B32),"")</f>
        <v/>
      </c>
      <c r="D32" s="4" t="s">
        <v>154</v>
      </c>
      <c r="K32" s="724" t="str">
        <f>K17</f>
        <v/>
      </c>
      <c r="L32" s="725"/>
      <c r="M32" s="725"/>
      <c r="N32" s="636" t="str">
        <f>+N17</f>
        <v>0 Days</v>
      </c>
      <c r="O32" s="724" t="str">
        <f>O17</f>
        <v/>
      </c>
      <c r="P32" s="725"/>
      <c r="Q32" s="725"/>
      <c r="R32" s="636" t="str">
        <f>+R17</f>
        <v>0 Days</v>
      </c>
      <c r="S32" s="609"/>
      <c r="T32" s="609"/>
      <c r="U32" s="609"/>
      <c r="V32" s="609"/>
      <c r="W32" s="609"/>
      <c r="X32" s="609"/>
      <c r="Y32" s="609"/>
      <c r="Z32" s="609"/>
      <c r="AA32" s="609"/>
      <c r="AB32" s="609"/>
      <c r="AC32" s="609"/>
      <c r="AD32" s="609"/>
      <c r="AE32" s="224"/>
      <c r="AF32" s="224"/>
      <c r="AG32" s="32"/>
      <c r="AJ32" s="524" t="s">
        <v>511</v>
      </c>
      <c r="AK32" s="533">
        <f>'FY24_PCI2_Rates.locked v3'!M14</f>
        <v>47.56</v>
      </c>
      <c r="AL32" s="533">
        <f>'FY24_PCI2_Rates.locked v3'!M15</f>
        <v>85.905000000000001</v>
      </c>
      <c r="AM32" s="532">
        <f t="shared" ref="AM32:AM33" si="32">AK32/AK31-1</f>
        <v>6.1607142857142971E-2</v>
      </c>
      <c r="AN32" s="532">
        <f t="shared" si="31"/>
        <v>6.1604053386060231E-2</v>
      </c>
      <c r="AO32" s="525"/>
      <c r="AP32" s="570">
        <v>10</v>
      </c>
      <c r="AQ32" s="331" t="s">
        <v>187</v>
      </c>
      <c r="AR32" s="570">
        <v>31</v>
      </c>
      <c r="AS32" s="382" t="s">
        <v>408</v>
      </c>
      <c r="AT32" s="384">
        <v>3.5000000000000003E-2</v>
      </c>
      <c r="AU32" s="244"/>
      <c r="AV32" s="244"/>
      <c r="AW32" s="244"/>
      <c r="AX32" s="316">
        <v>27</v>
      </c>
      <c r="AY32" s="225" t="s">
        <v>30</v>
      </c>
      <c r="AZ32" s="244"/>
      <c r="BA32" s="244"/>
      <c r="BB32" s="317" t="str">
        <f t="shared" si="6"/>
        <v>40</v>
      </c>
      <c r="BC32" s="226" t="s">
        <v>13</v>
      </c>
      <c r="BD32" s="226" t="s">
        <v>14</v>
      </c>
      <c r="BE32" s="226" t="s">
        <v>26</v>
      </c>
      <c r="BF32" s="226" t="s">
        <v>27</v>
      </c>
      <c r="BG32" s="155">
        <v>0</v>
      </c>
      <c r="BH32" s="155">
        <v>0</v>
      </c>
      <c r="BI32" s="155">
        <v>0</v>
      </c>
      <c r="BJ32" s="227" t="s">
        <v>19</v>
      </c>
      <c r="BK32" s="226"/>
      <c r="BL32" s="317" t="str">
        <f t="shared" si="7"/>
        <v>483-168</v>
      </c>
      <c r="BM32" s="356">
        <v>43282</v>
      </c>
      <c r="BN32" s="356">
        <v>43282</v>
      </c>
      <c r="BO32" s="360" t="s">
        <v>26</v>
      </c>
      <c r="BP32" s="358" t="s">
        <v>4</v>
      </c>
      <c r="BQ32" s="400">
        <v>20</v>
      </c>
      <c r="BR32" s="400">
        <v>20</v>
      </c>
      <c r="BS32" s="400">
        <v>20</v>
      </c>
      <c r="BT32" s="359">
        <v>4</v>
      </c>
      <c r="BU32" s="42"/>
      <c r="BV32" s="317" t="str">
        <f t="shared" si="8"/>
        <v>483-168</v>
      </c>
      <c r="BW32" s="356">
        <v>43282</v>
      </c>
      <c r="BX32" s="356">
        <v>43282</v>
      </c>
      <c r="BY32" s="360" t="s">
        <v>26</v>
      </c>
      <c r="BZ32" s="358" t="s">
        <v>4</v>
      </c>
      <c r="CA32" s="448">
        <v>21.63</v>
      </c>
      <c r="CB32" s="448">
        <v>21.62</v>
      </c>
      <c r="CC32" s="448">
        <v>21.63</v>
      </c>
      <c r="CD32" s="359">
        <v>4</v>
      </c>
      <c r="CE32" s="226"/>
      <c r="CF32" s="313" t="str">
        <f t="shared" si="13"/>
        <v>213</v>
      </c>
      <c r="CG32" s="356">
        <v>43282</v>
      </c>
      <c r="CH32" s="356">
        <v>43282</v>
      </c>
      <c r="CI32" s="370" t="s">
        <v>15</v>
      </c>
      <c r="CJ32" s="370"/>
      <c r="CK32" s="371">
        <v>1</v>
      </c>
      <c r="CL32" s="371">
        <v>3</v>
      </c>
      <c r="CM32" s="370">
        <v>2</v>
      </c>
      <c r="CN32" s="494">
        <f>'FPS Pivot Table'!D42</f>
        <v>38.01</v>
      </c>
      <c r="CO32" s="158"/>
      <c r="CP32" s="313" t="str">
        <f t="shared" si="14"/>
        <v>213</v>
      </c>
      <c r="CQ32" s="356">
        <v>43282</v>
      </c>
      <c r="CR32" s="356">
        <v>43282</v>
      </c>
      <c r="CS32" s="370" t="s">
        <v>15</v>
      </c>
      <c r="CT32" s="370"/>
      <c r="CU32" s="371">
        <v>1</v>
      </c>
      <c r="CV32" s="371">
        <v>3</v>
      </c>
      <c r="CW32" s="370">
        <v>2</v>
      </c>
      <c r="CX32" s="494">
        <f>'FPS Pivot Table'!E42</f>
        <v>39.53</v>
      </c>
      <c r="CY32" s="661">
        <f t="shared" si="15"/>
        <v>41.11</v>
      </c>
      <c r="CZ32" s="158"/>
      <c r="DA32" s="313" t="str">
        <f t="shared" si="9"/>
        <v>213</v>
      </c>
      <c r="DB32" s="356">
        <v>43282</v>
      </c>
      <c r="DC32" s="356">
        <v>43282</v>
      </c>
      <c r="DD32" s="371" t="s">
        <v>375</v>
      </c>
      <c r="DE32" s="377"/>
      <c r="DF32" s="377">
        <v>1</v>
      </c>
      <c r="DG32" s="377">
        <v>3</v>
      </c>
      <c r="DH32" s="377">
        <v>2</v>
      </c>
      <c r="DI32" s="494">
        <f>'FPS Pivot Table'!F42</f>
        <v>36.42</v>
      </c>
      <c r="DJ32" s="244"/>
      <c r="DK32" s="313" t="str">
        <f t="shared" si="10"/>
        <v>213</v>
      </c>
      <c r="DL32" s="356">
        <v>43282</v>
      </c>
      <c r="DM32" s="356">
        <v>43282</v>
      </c>
      <c r="DN32" s="371" t="s">
        <v>375</v>
      </c>
      <c r="DO32" s="377"/>
      <c r="DP32" s="377">
        <v>1</v>
      </c>
      <c r="DQ32" s="377">
        <v>3</v>
      </c>
      <c r="DR32" s="377">
        <v>2</v>
      </c>
      <c r="DS32" s="494">
        <f>'FPS Pivot Table'!G42</f>
        <v>37.880000000000003</v>
      </c>
      <c r="DT32" s="661">
        <f t="shared" si="16"/>
        <v>39.4</v>
      </c>
      <c r="DU32" s="244"/>
      <c r="DV32" s="244"/>
      <c r="DW32" s="244"/>
      <c r="DX32" s="244"/>
      <c r="DY32" s="244"/>
      <c r="DZ32" s="228" t="str">
        <f t="shared" si="11"/>
        <v>HowardSupported Employment</v>
      </c>
      <c r="EA32" s="516" t="s">
        <v>162</v>
      </c>
      <c r="EB32" s="463" t="s">
        <v>152</v>
      </c>
      <c r="EC32" s="229">
        <v>22.11</v>
      </c>
      <c r="ED32" s="462">
        <v>27.03</v>
      </c>
      <c r="EE32" s="536">
        <f>'FY24_PCI2_Rates.locked v3'!$Q$15</f>
        <v>30.36</v>
      </c>
      <c r="EF32" s="661">
        <f t="shared" si="17"/>
        <v>31.57</v>
      </c>
      <c r="EG32" s="536"/>
      <c r="EH32" s="228" t="str">
        <f t="shared" si="12"/>
        <v>HowardResidential</v>
      </c>
      <c r="EI32" s="228" t="s">
        <v>162</v>
      </c>
      <c r="EJ32" s="168" t="s">
        <v>376</v>
      </c>
      <c r="EK32" s="229">
        <v>19.78</v>
      </c>
      <c r="EL32" s="466">
        <v>24.18</v>
      </c>
      <c r="EM32" s="539">
        <f>'FY24_PCI2_Rates.locked v3'!$Q$22</f>
        <v>27.15</v>
      </c>
      <c r="EN32" s="661">
        <f t="shared" si="18"/>
        <v>28.24</v>
      </c>
      <c r="EO32" s="244"/>
      <c r="EP32" s="244"/>
      <c r="EQ32" s="244"/>
      <c r="ER32" s="244" t="s">
        <v>487</v>
      </c>
      <c r="ES32" s="244"/>
      <c r="ET32" s="244"/>
      <c r="EU32" s="244"/>
      <c r="EV32" s="244"/>
      <c r="EW32" s="244"/>
      <c r="EX32" s="244"/>
      <c r="EY32" s="244"/>
      <c r="EZ32" s="27"/>
      <c r="FA32" s="18"/>
      <c r="FB32" s="77"/>
      <c r="FC32" s="77"/>
      <c r="FD32" s="77"/>
      <c r="FE32" s="77"/>
      <c r="FF32" s="77"/>
      <c r="FG32" s="77"/>
      <c r="FH32" s="77"/>
      <c r="FI32" s="77"/>
      <c r="FJ32" s="77"/>
      <c r="FK32" s="77"/>
      <c r="FL32" s="77"/>
      <c r="FM32" s="77"/>
      <c r="FN32" s="77"/>
      <c r="FO32" s="77"/>
      <c r="FP32" s="77"/>
      <c r="FQ32" s="77"/>
      <c r="FR32" s="77"/>
      <c r="FS32" s="77"/>
      <c r="FT32" s="77"/>
      <c r="FU32" s="77"/>
      <c r="FV32" s="77"/>
      <c r="FW32" s="77"/>
    </row>
    <row r="33" spans="1:179" ht="31.8" thickBot="1">
      <c r="A33" s="71" t="s">
        <v>155</v>
      </c>
      <c r="B33" s="221" t="s">
        <v>155</v>
      </c>
      <c r="D33" s="71" t="s">
        <v>146</v>
      </c>
      <c r="E33" s="71" t="s">
        <v>415</v>
      </c>
      <c r="F33" s="544" t="s">
        <v>445</v>
      </c>
      <c r="G33" s="544" t="s">
        <v>446</v>
      </c>
      <c r="H33" s="71" t="s">
        <v>395</v>
      </c>
      <c r="I33" s="8" t="s">
        <v>229</v>
      </c>
      <c r="J33" s="8" t="s">
        <v>145</v>
      </c>
      <c r="K33" s="71" t="s">
        <v>155</v>
      </c>
      <c r="L33" s="71" t="s">
        <v>143</v>
      </c>
      <c r="M33" s="544" t="s">
        <v>197</v>
      </c>
      <c r="N33" s="544" t="s">
        <v>393</v>
      </c>
      <c r="O33" s="221" t="s">
        <v>155</v>
      </c>
      <c r="P33" s="71" t="s">
        <v>143</v>
      </c>
      <c r="Q33" s="544" t="s">
        <v>197</v>
      </c>
      <c r="R33" s="544" t="s">
        <v>393</v>
      </c>
      <c r="S33" s="609"/>
      <c r="T33" s="609"/>
      <c r="U33" s="609"/>
      <c r="V33" s="609"/>
      <c r="W33" s="609"/>
      <c r="X33" s="609"/>
      <c r="Y33" s="609"/>
      <c r="Z33" s="609"/>
      <c r="AA33" s="609"/>
      <c r="AB33" s="609"/>
      <c r="AC33" s="609"/>
      <c r="AD33" s="609"/>
      <c r="AE33" s="471" t="s">
        <v>244</v>
      </c>
      <c r="AF33" s="471" t="s">
        <v>243</v>
      </c>
      <c r="AG33" s="32"/>
      <c r="AJ33" s="524" t="s">
        <v>710</v>
      </c>
      <c r="AK33" s="533">
        <f>'FY24_PCI2_Rates.locked v3'!K14</f>
        <v>50.32</v>
      </c>
      <c r="AL33" s="533">
        <f>'FY24_PCI2_Rates.locked v3'!K15</f>
        <v>90.89</v>
      </c>
      <c r="AM33" s="532">
        <f t="shared" si="32"/>
        <v>5.803195962994101E-2</v>
      </c>
      <c r="AN33" s="532">
        <f t="shared" si="31"/>
        <v>5.802921832256569E-2</v>
      </c>
      <c r="AO33" s="525"/>
      <c r="AP33" s="570">
        <v>11</v>
      </c>
      <c r="AQ33" s="331" t="s">
        <v>188</v>
      </c>
      <c r="AR33" s="570">
        <v>30</v>
      </c>
      <c r="AS33" s="383" t="s">
        <v>453</v>
      </c>
      <c r="AT33" s="385">
        <v>3.5000000000000003E-2</v>
      </c>
      <c r="AU33" s="244"/>
      <c r="AV33" s="244"/>
      <c r="AW33" s="244"/>
      <c r="AX33" s="316">
        <v>28</v>
      </c>
      <c r="AY33" s="225" t="s">
        <v>3</v>
      </c>
      <c r="AZ33" s="244"/>
      <c r="BA33" s="244"/>
      <c r="BB33" s="317" t="str">
        <f t="shared" si="6"/>
        <v>41-19</v>
      </c>
      <c r="BC33" s="226" t="s">
        <v>13</v>
      </c>
      <c r="BD33" s="226" t="s">
        <v>14</v>
      </c>
      <c r="BE33" s="226" t="s">
        <v>26</v>
      </c>
      <c r="BF33" s="226" t="s">
        <v>0</v>
      </c>
      <c r="BG33" s="155">
        <v>30</v>
      </c>
      <c r="BH33" s="155">
        <v>27.91</v>
      </c>
      <c r="BI33" s="155">
        <v>22.37</v>
      </c>
      <c r="BJ33" s="227" t="s">
        <v>19</v>
      </c>
      <c r="BK33" s="226"/>
      <c r="BL33" s="317" t="str">
        <f t="shared" si="7"/>
        <v>428-82</v>
      </c>
      <c r="BM33" s="356">
        <v>43282</v>
      </c>
      <c r="BN33" s="356">
        <v>43282</v>
      </c>
      <c r="BO33" s="360" t="s">
        <v>26</v>
      </c>
      <c r="BP33" s="358" t="s">
        <v>3</v>
      </c>
      <c r="BQ33" s="400">
        <v>26.62</v>
      </c>
      <c r="BR33" s="400">
        <v>24.95</v>
      </c>
      <c r="BS33" s="400">
        <v>20</v>
      </c>
      <c r="BT33" s="359">
        <v>4</v>
      </c>
      <c r="BU33" s="42"/>
      <c r="BV33" s="317" t="str">
        <f t="shared" si="8"/>
        <v>428-82</v>
      </c>
      <c r="BW33" s="356">
        <v>43282</v>
      </c>
      <c r="BX33" s="356">
        <v>43282</v>
      </c>
      <c r="BY33" s="360" t="s">
        <v>26</v>
      </c>
      <c r="BZ33" s="358" t="s">
        <v>3</v>
      </c>
      <c r="CA33" s="448">
        <v>28.79</v>
      </c>
      <c r="CB33" s="448">
        <v>26.99</v>
      </c>
      <c r="CC33" s="448">
        <v>21.65</v>
      </c>
      <c r="CD33" s="359">
        <v>4</v>
      </c>
      <c r="CE33" s="226"/>
      <c r="CF33" s="313" t="str">
        <f t="shared" si="13"/>
        <v>214</v>
      </c>
      <c r="CG33" s="356">
        <v>43282</v>
      </c>
      <c r="CH33" s="356">
        <v>43282</v>
      </c>
      <c r="CI33" s="370" t="s">
        <v>15</v>
      </c>
      <c r="CJ33" s="370"/>
      <c r="CK33" s="371">
        <v>1</v>
      </c>
      <c r="CL33" s="371">
        <v>4</v>
      </c>
      <c r="CM33" s="370">
        <v>2</v>
      </c>
      <c r="CN33" s="494">
        <f>'FPS Pivot Table'!D43</f>
        <v>44.84</v>
      </c>
      <c r="CO33" s="158"/>
      <c r="CP33" s="313" t="str">
        <f t="shared" si="14"/>
        <v>214</v>
      </c>
      <c r="CQ33" s="356">
        <v>43282</v>
      </c>
      <c r="CR33" s="356">
        <v>43282</v>
      </c>
      <c r="CS33" s="370" t="s">
        <v>15</v>
      </c>
      <c r="CT33" s="370"/>
      <c r="CU33" s="371">
        <v>1</v>
      </c>
      <c r="CV33" s="371">
        <v>4</v>
      </c>
      <c r="CW33" s="370">
        <v>2</v>
      </c>
      <c r="CX33" s="494">
        <f>'FPS Pivot Table'!E43</f>
        <v>46.63</v>
      </c>
      <c r="CY33" s="661">
        <f t="shared" si="15"/>
        <v>48.5</v>
      </c>
      <c r="CZ33" s="158"/>
      <c r="DA33" s="313" t="str">
        <f t="shared" si="9"/>
        <v>214</v>
      </c>
      <c r="DB33" s="356">
        <v>43282</v>
      </c>
      <c r="DC33" s="356">
        <v>43282</v>
      </c>
      <c r="DD33" s="371" t="s">
        <v>375</v>
      </c>
      <c r="DE33" s="377"/>
      <c r="DF33" s="377">
        <v>1</v>
      </c>
      <c r="DG33" s="377">
        <v>4</v>
      </c>
      <c r="DH33" s="377">
        <v>2</v>
      </c>
      <c r="DI33" s="494">
        <f>'FPS Pivot Table'!F43</f>
        <v>42.4</v>
      </c>
      <c r="DJ33" s="244"/>
      <c r="DK33" s="313" t="str">
        <f t="shared" si="10"/>
        <v>214</v>
      </c>
      <c r="DL33" s="356">
        <v>43282</v>
      </c>
      <c r="DM33" s="356">
        <v>43282</v>
      </c>
      <c r="DN33" s="371" t="s">
        <v>375</v>
      </c>
      <c r="DO33" s="377"/>
      <c r="DP33" s="377">
        <v>1</v>
      </c>
      <c r="DQ33" s="377">
        <v>4</v>
      </c>
      <c r="DR33" s="377">
        <v>2</v>
      </c>
      <c r="DS33" s="494">
        <f>'FPS Pivot Table'!G43</f>
        <v>44.09</v>
      </c>
      <c r="DT33" s="661">
        <f t="shared" si="16"/>
        <v>45.85</v>
      </c>
      <c r="DU33" s="244"/>
      <c r="DV33" s="244"/>
      <c r="DW33" s="244"/>
      <c r="DX33" s="244"/>
      <c r="DY33" s="244"/>
      <c r="DZ33" s="228" t="str">
        <f t="shared" si="11"/>
        <v>KentDay</v>
      </c>
      <c r="EA33" s="518" t="s">
        <v>174</v>
      </c>
      <c r="EB33" s="463" t="s">
        <v>134</v>
      </c>
      <c r="EC33" s="229">
        <v>22.11</v>
      </c>
      <c r="ED33" s="462">
        <v>27.03</v>
      </c>
      <c r="EE33" s="536">
        <f>'FY24_PCI2_Rates.locked v3'!$Q$17</f>
        <v>30.36</v>
      </c>
      <c r="EF33" s="661">
        <f t="shared" si="17"/>
        <v>31.57</v>
      </c>
      <c r="EG33" s="536"/>
      <c r="EH33" s="228" t="str">
        <f t="shared" si="12"/>
        <v>KentResidential</v>
      </c>
      <c r="EI33" s="228" t="s">
        <v>174</v>
      </c>
      <c r="EJ33" s="168" t="s">
        <v>376</v>
      </c>
      <c r="EK33" s="229">
        <v>19.78</v>
      </c>
      <c r="EL33" s="466">
        <v>24.18</v>
      </c>
      <c r="EM33" s="539">
        <f>'FY24_PCI2_Rates.locked v3'!$Q$24</f>
        <v>27.15</v>
      </c>
      <c r="EN33" s="661">
        <f t="shared" si="18"/>
        <v>28.24</v>
      </c>
      <c r="EO33" s="244"/>
      <c r="EP33" s="244"/>
      <c r="EQ33" s="244"/>
      <c r="ER33" s="244" t="s">
        <v>487</v>
      </c>
      <c r="ES33" s="244"/>
      <c r="ET33" s="244"/>
      <c r="EU33" s="244"/>
      <c r="EV33" s="244"/>
      <c r="EW33" s="244"/>
      <c r="EX33" s="244"/>
      <c r="EY33" s="244"/>
      <c r="EZ33" s="18"/>
      <c r="FA33" s="27"/>
      <c r="FB33" s="77"/>
      <c r="FC33" s="77"/>
      <c r="FD33" s="77"/>
      <c r="FE33" s="77"/>
      <c r="FF33" s="77"/>
      <c r="FG33" s="77"/>
      <c r="FH33" s="77"/>
      <c r="FI33" s="77"/>
      <c r="FJ33" s="77"/>
      <c r="FK33" s="77"/>
      <c r="FL33" s="77"/>
      <c r="FM33" s="77"/>
      <c r="FN33" s="77"/>
      <c r="FO33" s="77"/>
      <c r="FP33" s="77"/>
      <c r="FQ33" s="77"/>
      <c r="FR33" s="77"/>
      <c r="FS33" s="77"/>
      <c r="FT33" s="77"/>
      <c r="FU33" s="77"/>
      <c r="FV33" s="77"/>
      <c r="FW33" s="77"/>
    </row>
    <row r="34" spans="1:179" ht="16.2" thickBot="1">
      <c r="A34" s="468">
        <f>IF(B34&lt;&gt;"",SUM($B$19:B34),"")</f>
        <v>8</v>
      </c>
      <c r="B34" s="468">
        <f t="shared" ref="B34:B59" si="33">IF(OR(D34="Individual and Family Directed Goods &amp; Services",D34="Personal Supports"),"",IF(D34&lt;&gt;"",1,""))</f>
        <v>1</v>
      </c>
      <c r="D34" s="445" t="s">
        <v>398</v>
      </c>
      <c r="E34" s="427"/>
      <c r="F34" s="133"/>
      <c r="G34" s="134"/>
      <c r="H34" s="194"/>
      <c r="I34" s="451" t="str">
        <f>IF(ISERROR((IF($D34="","",VLOOKUP(CONCATENATE($E$12,$A$12,$D34),'Waiver Rate Table'!$B$8:$S$219,6,FALSE)))),"Unavailable",(IF($D34="","",VLOOKUP(CONCATENATE($E$12,$A$12,$D34),'Waiver Rate Table'!$B$8:$S$219,6,FALSE))))</f>
        <v>Unavailable</v>
      </c>
      <c r="J34" s="126" t="str">
        <f>IF(ISERROR((IF(I34="Unavailable","",VLOOKUP(CONCATENATE($E$12,$A$12,$D34),'Waiver Rate Table'!$B$8:$S$219,7,FALSE)))),"",(IF(I34="Unavailable","",VLOOKUP(CONCATENATE($E$12,$A$12,$D34),'Waiver Rate Table'!$B$8:$S$219,7,FALSE))))</f>
        <v/>
      </c>
      <c r="K34" s="104" t="str">
        <f>IF(ISERROR(IF(OR($I34="Unavailable",$K$32=""),"",IF(OR($J34="Upper Pay Limit",$J34="N/A"),"N/A",VLOOKUP(CONCATENATE($E$12,$A$12,$D34),'Waiver Rate Table'!$B$8:$S$219,16,FALSE)))),"",IF(OR($I34="Unavailable",$K$32=""),"",IF(OR($J34="Upper Pay Limit",$J34="N/A"),"N/A",VLOOKUP(CONCATENATE($E$12,$A$12,$D34),'Waiver Rate Table'!$B$8:$S$219,16,FALSE))))</f>
        <v/>
      </c>
      <c r="L34" s="281"/>
      <c r="M34" s="197" t="str">
        <f t="shared" ref="M34:M59" si="34">IF(ISERROR(L34*K34),"",L34*K34)</f>
        <v/>
      </c>
      <c r="N34" s="202"/>
      <c r="O34" s="104" t="str">
        <f>IF(ISERROR(IF(OR($I34="Unavailable",$O$32=""),"",(IF(OR($J34="Upper Pay Limit",$J34="N/A"),"N/A",VLOOKUP(CONCATENATE($E$12,$A$12,$D34),'Waiver Rate Table'!$B$8:$S$219,17,FALSE))))),"",IF(OR($I34="Unavailable",$O$32=""),"",(IF(OR($J34="Upper Pay Limit",$J34="N/A"),"N/A",VLOOKUP(CONCATENATE($E$12,$A$12,$D34),'Waiver Rate Table'!$B$8:$S$219,17,FALSE)))))</f>
        <v/>
      </c>
      <c r="P34" s="281"/>
      <c r="Q34" s="197" t="str">
        <f t="shared" ref="Q34:Q59" si="35">IF(ISERROR((P34*O34)),"",P34*O34)</f>
        <v/>
      </c>
      <c r="R34" s="202"/>
      <c r="S34" s="609"/>
      <c r="T34" s="610"/>
      <c r="U34" s="274"/>
      <c r="V34" s="668"/>
      <c r="W34" s="610"/>
      <c r="X34" s="610"/>
      <c r="Y34" s="610"/>
      <c r="Z34" s="610"/>
      <c r="AA34" s="610"/>
      <c r="AB34" s="610"/>
      <c r="AC34" s="610"/>
      <c r="AD34" s="609"/>
      <c r="AE34" s="468" t="str">
        <f t="shared" ref="AE34:AE59" si="36">IF(OR(D34="",J34="Upper Pay Limit",J34="N/A"),"x","")</f>
        <v/>
      </c>
      <c r="AF34" s="468" t="str">
        <f>IF(ISERROR((IF(SUM(N34+R34)&gt;VLOOKUP(CONCATENATE($E$12,$A$12,$D34),'Waiver Rate Table'!$B$8:$S$182,11,FALSE),"x",""))),"",(IF(SUM(N34+R34)&gt;VLOOKUP(CONCATENATE($E$12,$A$12,$D34),'Waiver Rate Table'!$B$8:$S$182,11,FALSE),"x","")))</f>
        <v/>
      </c>
      <c r="AG34" s="32"/>
      <c r="AJ34" s="526" t="s">
        <v>775</v>
      </c>
      <c r="AK34" s="657">
        <f>ROUND(+AK33*1.04,2)</f>
        <v>52.33</v>
      </c>
      <c r="AL34" s="657">
        <f>ROUND(+AL33*1.04,2)</f>
        <v>94.53</v>
      </c>
      <c r="AM34" s="660">
        <f t="shared" ref="AM34" si="37">AK34/AK33-1</f>
        <v>3.9944356120826585E-2</v>
      </c>
      <c r="AN34" s="660">
        <f t="shared" ref="AN34" si="38">AL34/AL33-1</f>
        <v>4.0048410166134918E-2</v>
      </c>
      <c r="AO34" s="527"/>
      <c r="AP34" s="570">
        <v>12</v>
      </c>
      <c r="AQ34" s="331" t="s">
        <v>189</v>
      </c>
      <c r="AR34" s="570">
        <v>31</v>
      </c>
      <c r="AS34" s="426" t="s">
        <v>488</v>
      </c>
      <c r="AT34" s="385">
        <v>0.04</v>
      </c>
      <c r="AU34" s="244"/>
      <c r="AV34" s="244"/>
      <c r="AW34" s="244"/>
      <c r="AX34" s="316">
        <v>29</v>
      </c>
      <c r="AY34" s="225" t="s">
        <v>3</v>
      </c>
      <c r="AZ34" s="244"/>
      <c r="BA34" s="244"/>
      <c r="BB34" s="317" t="str">
        <f t="shared" si="6"/>
        <v>420-22</v>
      </c>
      <c r="BC34" s="226" t="s">
        <v>13</v>
      </c>
      <c r="BD34" s="226" t="s">
        <v>14</v>
      </c>
      <c r="BE34" s="226" t="s">
        <v>26</v>
      </c>
      <c r="BF34" s="226" t="s">
        <v>1</v>
      </c>
      <c r="BG34" s="155">
        <v>28.69</v>
      </c>
      <c r="BH34" s="155">
        <v>26.9</v>
      </c>
      <c r="BI34" s="155">
        <v>21.55</v>
      </c>
      <c r="BJ34" s="227" t="s">
        <v>19</v>
      </c>
      <c r="BK34" s="226"/>
      <c r="BL34" s="317" t="str">
        <f t="shared" si="7"/>
        <v>427</v>
      </c>
      <c r="BM34" s="356">
        <v>43282</v>
      </c>
      <c r="BN34" s="356">
        <v>43282</v>
      </c>
      <c r="BO34" s="360" t="s">
        <v>26</v>
      </c>
      <c r="BP34" s="358" t="s">
        <v>30</v>
      </c>
      <c r="BQ34" s="400">
        <v>27.01</v>
      </c>
      <c r="BR34" s="400">
        <v>25.32</v>
      </c>
      <c r="BS34" s="400">
        <v>20.28</v>
      </c>
      <c r="BT34" s="359">
        <v>4</v>
      </c>
      <c r="BU34" s="42"/>
      <c r="BV34" s="317" t="str">
        <f t="shared" si="8"/>
        <v>427</v>
      </c>
      <c r="BW34" s="356">
        <v>43282</v>
      </c>
      <c r="BX34" s="356">
        <v>43282</v>
      </c>
      <c r="BY34" s="360" t="s">
        <v>26</v>
      </c>
      <c r="BZ34" s="358" t="s">
        <v>30</v>
      </c>
      <c r="CA34" s="448">
        <v>29.21</v>
      </c>
      <c r="CB34" s="448">
        <v>27.38</v>
      </c>
      <c r="CC34" s="448">
        <v>21.93</v>
      </c>
      <c r="CD34" s="359">
        <v>4</v>
      </c>
      <c r="CE34" s="226"/>
      <c r="CF34" s="313" t="str">
        <f t="shared" si="13"/>
        <v>215</v>
      </c>
      <c r="CG34" s="356">
        <v>43282</v>
      </c>
      <c r="CH34" s="356">
        <v>43282</v>
      </c>
      <c r="CI34" s="370" t="s">
        <v>15</v>
      </c>
      <c r="CJ34" s="370"/>
      <c r="CK34" s="371">
        <v>1</v>
      </c>
      <c r="CL34" s="371">
        <v>5</v>
      </c>
      <c r="CM34" s="370">
        <v>2</v>
      </c>
      <c r="CN34" s="494">
        <f>'FPS Pivot Table'!D44</f>
        <v>50.82</v>
      </c>
      <c r="CO34" s="158"/>
      <c r="CP34" s="313" t="str">
        <f t="shared" si="14"/>
        <v>215</v>
      </c>
      <c r="CQ34" s="356">
        <v>43282</v>
      </c>
      <c r="CR34" s="356">
        <v>43282</v>
      </c>
      <c r="CS34" s="370" t="s">
        <v>15</v>
      </c>
      <c r="CT34" s="370"/>
      <c r="CU34" s="371">
        <v>1</v>
      </c>
      <c r="CV34" s="371">
        <v>5</v>
      </c>
      <c r="CW34" s="370">
        <v>2</v>
      </c>
      <c r="CX34" s="494">
        <f>'FPS Pivot Table'!E44</f>
        <v>52.84</v>
      </c>
      <c r="CY34" s="661">
        <f t="shared" si="15"/>
        <v>54.95</v>
      </c>
      <c r="CZ34" s="158"/>
      <c r="DA34" s="313" t="str">
        <f t="shared" si="9"/>
        <v>215</v>
      </c>
      <c r="DB34" s="356">
        <v>43282</v>
      </c>
      <c r="DC34" s="356">
        <v>43282</v>
      </c>
      <c r="DD34" s="371" t="s">
        <v>375</v>
      </c>
      <c r="DE34" s="377"/>
      <c r="DF34" s="377">
        <v>1</v>
      </c>
      <c r="DG34" s="377">
        <v>5</v>
      </c>
      <c r="DH34" s="377">
        <v>2</v>
      </c>
      <c r="DI34" s="494">
        <f>'FPS Pivot Table'!F44</f>
        <v>47.62</v>
      </c>
      <c r="DJ34" s="244"/>
      <c r="DK34" s="313" t="str">
        <f t="shared" si="10"/>
        <v>215</v>
      </c>
      <c r="DL34" s="356">
        <v>43282</v>
      </c>
      <c r="DM34" s="356">
        <v>43282</v>
      </c>
      <c r="DN34" s="371" t="s">
        <v>375</v>
      </c>
      <c r="DO34" s="377"/>
      <c r="DP34" s="377">
        <v>1</v>
      </c>
      <c r="DQ34" s="377">
        <v>5</v>
      </c>
      <c r="DR34" s="377">
        <v>2</v>
      </c>
      <c r="DS34" s="494">
        <f>'FPS Pivot Table'!G44</f>
        <v>49.53</v>
      </c>
      <c r="DT34" s="661">
        <f t="shared" si="16"/>
        <v>51.51</v>
      </c>
      <c r="DU34" s="244"/>
      <c r="DV34" s="244"/>
      <c r="DW34" s="244"/>
      <c r="DX34" s="244"/>
      <c r="DY34" s="244"/>
      <c r="DZ34" s="228" t="str">
        <f t="shared" si="11"/>
        <v>KentSupported Employment</v>
      </c>
      <c r="EA34" s="518" t="s">
        <v>174</v>
      </c>
      <c r="EB34" s="463" t="s">
        <v>152</v>
      </c>
      <c r="EC34" s="229">
        <v>22.11</v>
      </c>
      <c r="ED34" s="462">
        <v>27.03</v>
      </c>
      <c r="EE34" s="536">
        <f>'FY24_PCI2_Rates.locked v3'!$Q$17</f>
        <v>30.36</v>
      </c>
      <c r="EF34" s="661">
        <f t="shared" si="17"/>
        <v>31.57</v>
      </c>
      <c r="EG34" s="536"/>
      <c r="EH34" s="228" t="str">
        <f t="shared" si="12"/>
        <v>KentResidential</v>
      </c>
      <c r="EI34" s="228" t="s">
        <v>174</v>
      </c>
      <c r="EJ34" s="168" t="s">
        <v>376</v>
      </c>
      <c r="EK34" s="229">
        <v>19.78</v>
      </c>
      <c r="EL34" s="466">
        <v>24.18</v>
      </c>
      <c r="EM34" s="539">
        <f>'FY24_PCI2_Rates.locked v3'!$Q$24</f>
        <v>27.15</v>
      </c>
      <c r="EN34" s="661">
        <f t="shared" si="18"/>
        <v>28.24</v>
      </c>
      <c r="EO34" s="244"/>
      <c r="EP34" s="244"/>
      <c r="EQ34" s="244"/>
      <c r="ER34" s="244"/>
      <c r="ES34" s="244"/>
      <c r="ET34" s="244"/>
      <c r="EU34" s="244"/>
      <c r="EV34" s="244"/>
      <c r="EW34" s="244"/>
      <c r="EX34" s="244"/>
      <c r="EY34" s="244"/>
      <c r="EZ34" s="27"/>
      <c r="FA34" s="18"/>
      <c r="FB34" s="77"/>
      <c r="FC34" s="77"/>
      <c r="FD34" s="77"/>
      <c r="FE34" s="77"/>
      <c r="FF34" s="77"/>
      <c r="FG34" s="77"/>
      <c r="FH34" s="77"/>
      <c r="FI34" s="77"/>
      <c r="FJ34" s="77"/>
      <c r="FK34" s="77"/>
      <c r="FL34" s="77"/>
      <c r="FM34" s="77"/>
      <c r="FN34" s="77"/>
      <c r="FO34" s="77"/>
      <c r="FP34" s="77"/>
      <c r="FQ34" s="77"/>
      <c r="FR34" s="77"/>
      <c r="FS34" s="77"/>
      <c r="FT34" s="77"/>
      <c r="FU34" s="77"/>
      <c r="FV34" s="77"/>
      <c r="FW34" s="77"/>
    </row>
    <row r="35" spans="1:179">
      <c r="A35" s="468">
        <f>IF(B35&lt;&gt;"",SUM($B$19:B35),"")</f>
        <v>9</v>
      </c>
      <c r="B35" s="468">
        <f t="shared" si="33"/>
        <v>1</v>
      </c>
      <c r="D35" s="446" t="s">
        <v>515</v>
      </c>
      <c r="E35" s="428"/>
      <c r="F35" s="133"/>
      <c r="G35" s="134"/>
      <c r="H35" s="194"/>
      <c r="I35" s="451" t="str">
        <f>IF(ISERROR((IF($D35="","",VLOOKUP(CONCATENATE($E$12,$A$12,$D35),'Waiver Rate Table'!$B$8:$S$219,6,FALSE)))),"Unavailable",(IF($D35="","",VLOOKUP(CONCATENATE($E$12,$A$12,$D35),'Waiver Rate Table'!$B$8:$S$219,6,FALSE))))</f>
        <v>Unavailable</v>
      </c>
      <c r="J35" s="127" t="str">
        <f>IF(ISERROR((IF(I35="Unavailable","",VLOOKUP(CONCATENATE($E$12,$A$12,$D35),'Waiver Rate Table'!$B$8:$S$219,7,FALSE)))),"",(IF(I35="Unavailable","",VLOOKUP(CONCATENATE($E$12,$A$12,$D35),'Waiver Rate Table'!$B$8:$S$219,7,FALSE))))</f>
        <v/>
      </c>
      <c r="K35" s="104" t="str">
        <f>IF(ISERROR(IF(OR($I35="Unavailable",$K$32=""),"",IF(OR($J35="Upper Pay Limit",$J35="N/A"),"N/A",VLOOKUP(CONCATENATE($E$12,$A$12,$D35),'Waiver Rate Table'!$B$8:$S$219,16,FALSE)))),"",IF(OR($I35="Unavailable",$K$32=""),"",IF(OR($J35="Upper Pay Limit",$J35="N/A"),"N/A",VLOOKUP(CONCATENATE($E$12,$A$12,$D35),'Waiver Rate Table'!$B$8:$S$219,16,FALSE))))</f>
        <v/>
      </c>
      <c r="L35" s="204"/>
      <c r="M35" s="6" t="str">
        <f t="shared" si="34"/>
        <v/>
      </c>
      <c r="N35" s="28"/>
      <c r="O35" s="104" t="str">
        <f>IF(ISERROR(IF(OR($I35="Unavailable",$O$32=""),"",(IF(OR($J35="Upper Pay Limit",$J35="N/A"),"N/A",VLOOKUP(CONCATENATE($E$12,$A$12,$D35),'Waiver Rate Table'!$B$8:$S$219,17,FALSE))))),"",IF(OR($I35="Unavailable",$O$32=""),"",(IF(OR($J35="Upper Pay Limit",$J35="N/A"),"N/A",VLOOKUP(CONCATENATE($E$12,$A$12,$D35),'Waiver Rate Table'!$B$8:$S$219,17,FALSE)))))</f>
        <v/>
      </c>
      <c r="P35" s="204"/>
      <c r="Q35" s="6" t="str">
        <f t="shared" si="35"/>
        <v/>
      </c>
      <c r="R35" s="28"/>
      <c r="S35" s="610"/>
      <c r="T35" s="610"/>
      <c r="U35" s="610"/>
      <c r="V35" s="610"/>
      <c r="W35" s="610"/>
      <c r="X35" s="610"/>
      <c r="Y35" s="610"/>
      <c r="Z35" s="610"/>
      <c r="AA35" s="610"/>
      <c r="AB35" s="610"/>
      <c r="AC35" s="610"/>
      <c r="AD35" s="610"/>
      <c r="AE35" s="468" t="str">
        <f t="shared" si="36"/>
        <v/>
      </c>
      <c r="AF35" s="468" t="str">
        <f>IF(ISERROR((IF(SUM(N35+R35)&gt;VLOOKUP(CONCATENATE($E$12,$A$12,$D35),'Waiver Rate Table'!$B$8:$S$182,11,FALSE),"x",""))),"",(IF(SUM(N35+R35)&gt;VLOOKUP(CONCATENATE($E$12,$A$12,$D35),'Waiver Rate Table'!$B$8:$S$182,11,FALSE),"x","")))</f>
        <v/>
      </c>
      <c r="AG35" s="32"/>
      <c r="AP35" s="570">
        <v>1</v>
      </c>
      <c r="AQ35" s="331" t="s">
        <v>190</v>
      </c>
      <c r="AR35" s="570">
        <v>31</v>
      </c>
      <c r="AS35" s="381" t="s">
        <v>460</v>
      </c>
      <c r="AT35" s="244"/>
      <c r="AU35" s="244"/>
      <c r="AV35" s="244"/>
      <c r="AW35" s="244"/>
      <c r="AX35" s="316">
        <v>30</v>
      </c>
      <c r="AY35" s="225" t="s">
        <v>3</v>
      </c>
      <c r="AZ35" s="244"/>
      <c r="BA35" s="244"/>
      <c r="BB35" s="317" t="str">
        <f t="shared" si="6"/>
        <v>423-24</v>
      </c>
      <c r="BC35" s="226" t="s">
        <v>13</v>
      </c>
      <c r="BD35" s="226" t="s">
        <v>14</v>
      </c>
      <c r="BE35" s="226" t="s">
        <v>26</v>
      </c>
      <c r="BF35" s="226" t="s">
        <v>2</v>
      </c>
      <c r="BG35" s="155">
        <v>27.73</v>
      </c>
      <c r="BH35" s="155">
        <v>25.99</v>
      </c>
      <c r="BI35" s="155">
        <v>20.81</v>
      </c>
      <c r="BJ35" s="227" t="s">
        <v>19</v>
      </c>
      <c r="BK35" s="226"/>
      <c r="BL35" s="317" t="str">
        <f t="shared" si="7"/>
        <v>426</v>
      </c>
      <c r="BM35" s="356">
        <v>43282</v>
      </c>
      <c r="BN35" s="356">
        <v>43282</v>
      </c>
      <c r="BO35" s="360" t="s">
        <v>26</v>
      </c>
      <c r="BP35" s="358" t="s">
        <v>29</v>
      </c>
      <c r="BQ35" s="400">
        <v>27.84</v>
      </c>
      <c r="BR35" s="400">
        <v>26.09</v>
      </c>
      <c r="BS35" s="400">
        <v>20.92</v>
      </c>
      <c r="BT35" s="359">
        <v>4</v>
      </c>
      <c r="BU35" s="42"/>
      <c r="BV35" s="317" t="str">
        <f t="shared" si="8"/>
        <v>426</v>
      </c>
      <c r="BW35" s="356">
        <v>43282</v>
      </c>
      <c r="BX35" s="356">
        <v>43282</v>
      </c>
      <c r="BY35" s="360" t="s">
        <v>26</v>
      </c>
      <c r="BZ35" s="358" t="s">
        <v>29</v>
      </c>
      <c r="CA35" s="448">
        <v>30.11</v>
      </c>
      <c r="CB35" s="448">
        <v>28.22</v>
      </c>
      <c r="CC35" s="448">
        <v>22.63</v>
      </c>
      <c r="CD35" s="359">
        <v>4</v>
      </c>
      <c r="CE35" s="226"/>
      <c r="CF35" s="313" t="str">
        <f t="shared" si="13"/>
        <v>221</v>
      </c>
      <c r="CG35" s="356">
        <v>43282</v>
      </c>
      <c r="CH35" s="356">
        <v>43282</v>
      </c>
      <c r="CI35" s="370" t="s">
        <v>15</v>
      </c>
      <c r="CJ35" s="370"/>
      <c r="CK35" s="371">
        <v>2</v>
      </c>
      <c r="CL35" s="371">
        <v>1</v>
      </c>
      <c r="CM35" s="370">
        <v>2</v>
      </c>
      <c r="CN35" s="494">
        <f>'FPS Pivot Table'!D45</f>
        <v>35.700000000000003</v>
      </c>
      <c r="CO35" s="158"/>
      <c r="CP35" s="313" t="str">
        <f t="shared" si="14"/>
        <v>221</v>
      </c>
      <c r="CQ35" s="356">
        <v>43282</v>
      </c>
      <c r="CR35" s="356">
        <v>43282</v>
      </c>
      <c r="CS35" s="370" t="s">
        <v>15</v>
      </c>
      <c r="CT35" s="370"/>
      <c r="CU35" s="371">
        <v>2</v>
      </c>
      <c r="CV35" s="371">
        <v>1</v>
      </c>
      <c r="CW35" s="370">
        <v>2</v>
      </c>
      <c r="CX35" s="494">
        <f>'FPS Pivot Table'!E45</f>
        <v>37.119999999999997</v>
      </c>
      <c r="CY35" s="661">
        <f t="shared" si="15"/>
        <v>38.6</v>
      </c>
      <c r="CZ35" s="158"/>
      <c r="DA35" s="313" t="str">
        <f t="shared" si="9"/>
        <v>221</v>
      </c>
      <c r="DB35" s="356">
        <v>43282</v>
      </c>
      <c r="DC35" s="356">
        <v>43282</v>
      </c>
      <c r="DD35" s="371" t="s">
        <v>375</v>
      </c>
      <c r="DE35" s="377"/>
      <c r="DF35" s="377">
        <v>2</v>
      </c>
      <c r="DG35" s="377">
        <v>1</v>
      </c>
      <c r="DH35" s="377">
        <v>2</v>
      </c>
      <c r="DI35" s="494">
        <f>'FPS Pivot Table'!F45</f>
        <v>52.37</v>
      </c>
      <c r="DJ35" s="244"/>
      <c r="DK35" s="313" t="str">
        <f t="shared" si="10"/>
        <v>221</v>
      </c>
      <c r="DL35" s="356">
        <v>43282</v>
      </c>
      <c r="DM35" s="356">
        <v>43282</v>
      </c>
      <c r="DN35" s="371" t="s">
        <v>375</v>
      </c>
      <c r="DO35" s="377"/>
      <c r="DP35" s="377">
        <v>2</v>
      </c>
      <c r="DQ35" s="377">
        <v>1</v>
      </c>
      <c r="DR35" s="377">
        <v>2</v>
      </c>
      <c r="DS35" s="494">
        <f>'FPS Pivot Table'!G45</f>
        <v>54.46</v>
      </c>
      <c r="DT35" s="661">
        <f t="shared" si="16"/>
        <v>56.64</v>
      </c>
      <c r="DU35" s="244"/>
      <c r="DV35" s="244"/>
      <c r="DW35" s="244"/>
      <c r="DX35" s="244"/>
      <c r="DY35" s="244"/>
      <c r="DZ35" s="228" t="str">
        <f t="shared" si="11"/>
        <v>MontgomeryDay</v>
      </c>
      <c r="EA35" s="517" t="s">
        <v>168</v>
      </c>
      <c r="EB35" s="463" t="s">
        <v>134</v>
      </c>
      <c r="EC35" s="229">
        <v>23.43</v>
      </c>
      <c r="ED35" s="462">
        <v>28.64</v>
      </c>
      <c r="EE35" s="536">
        <f>'FY24_PCI2_Rates.locked v3'!$Q$16</f>
        <v>32.17</v>
      </c>
      <c r="EF35" s="661">
        <f t="shared" si="17"/>
        <v>33.46</v>
      </c>
      <c r="EG35" s="536"/>
      <c r="EH35" s="228" t="str">
        <f t="shared" si="12"/>
        <v>MontgomeryResidential</v>
      </c>
      <c r="EI35" s="228" t="s">
        <v>168</v>
      </c>
      <c r="EJ35" s="168" t="s">
        <v>376</v>
      </c>
      <c r="EK35" s="229">
        <v>21.09</v>
      </c>
      <c r="EL35" s="466">
        <v>25.78</v>
      </c>
      <c r="EM35" s="539">
        <f>'FY24_PCI2_Rates.locked v3'!$Q$23</f>
        <v>28.94</v>
      </c>
      <c r="EN35" s="661">
        <f t="shared" si="18"/>
        <v>30.1</v>
      </c>
      <c r="EO35" s="244"/>
      <c r="EP35" s="244"/>
      <c r="EQ35" s="244"/>
      <c r="ER35" s="244"/>
      <c r="ES35" s="244"/>
      <c r="ET35" s="244"/>
      <c r="EU35" s="244"/>
      <c r="EV35" s="244"/>
      <c r="EW35" s="244"/>
      <c r="EX35" s="244"/>
      <c r="EY35" s="244"/>
      <c r="EZ35" s="18"/>
      <c r="FA35" s="27"/>
      <c r="FB35" s="77"/>
      <c r="FC35" s="77"/>
      <c r="FD35" s="77"/>
      <c r="FE35" s="77"/>
      <c r="FF35" s="77"/>
      <c r="FG35" s="77"/>
      <c r="FH35" s="77"/>
      <c r="FI35" s="77"/>
      <c r="FJ35" s="77"/>
      <c r="FK35" s="77"/>
      <c r="FL35" s="77"/>
      <c r="FM35" s="77"/>
      <c r="FN35" s="77"/>
      <c r="FO35" s="77"/>
      <c r="FP35" s="77"/>
      <c r="FQ35" s="77"/>
      <c r="FR35" s="77"/>
      <c r="FS35" s="77"/>
      <c r="FT35" s="77"/>
      <c r="FU35" s="77"/>
      <c r="FV35" s="77"/>
      <c r="FW35" s="77"/>
    </row>
    <row r="36" spans="1:179">
      <c r="A36" s="468">
        <f>IF(B36&lt;&gt;"",SUM($B$19:B36),"")</f>
        <v>10</v>
      </c>
      <c r="B36" s="468">
        <f t="shared" si="33"/>
        <v>1</v>
      </c>
      <c r="D36" s="446" t="s">
        <v>399</v>
      </c>
      <c r="E36" s="428"/>
      <c r="F36" s="133"/>
      <c r="G36" s="134"/>
      <c r="H36" s="194"/>
      <c r="I36" s="451" t="str">
        <f>IF(ISERROR((IF($D36="","",VLOOKUP(CONCATENATE($E$12,$A$12,$D36),'Waiver Rate Table'!$B$8:$S$219,6,FALSE)))),"Unavailable",(IF($D36="","",VLOOKUP(CONCATENATE($E$12,$A$12,$D36),'Waiver Rate Table'!$B$8:$S$219,6,FALSE))))</f>
        <v>Unavailable</v>
      </c>
      <c r="J36" s="127" t="str">
        <f>IF(ISERROR((IF(I36="Unavailable","",VLOOKUP(CONCATENATE($E$12,$A$12,$D36),'Waiver Rate Table'!$B$8:$S$219,7,FALSE)))),"",(IF(I36="Unavailable","",VLOOKUP(CONCATENATE($E$12,$A$12,$D36),'Waiver Rate Table'!$B$8:$S$219,7,FALSE))))</f>
        <v/>
      </c>
      <c r="K36" s="104" t="str">
        <f>IF(ISERROR(IF(OR($I36="Unavailable",$K$32=""),"",IF(OR($J36="Upper Pay Limit",$J36="N/A"),"N/A",VLOOKUP(CONCATENATE($E$12,$A$12,$D36),'Waiver Rate Table'!$B$8:$S$219,16,FALSE)))),"",IF(OR($I36="Unavailable",$K$32=""),"",IF(OR($J36="Upper Pay Limit",$J36="N/A"),"N/A",VLOOKUP(CONCATENATE($E$12,$A$12,$D36),'Waiver Rate Table'!$B$8:$S$219,16,FALSE))))</f>
        <v/>
      </c>
      <c r="L36" s="204"/>
      <c r="M36" s="6" t="str">
        <f t="shared" si="34"/>
        <v/>
      </c>
      <c r="N36" s="28"/>
      <c r="O36" s="104" t="str">
        <f>IF(ISERROR(IF(OR($I36="Unavailable",$O$32=""),"",(IF(OR($J36="Upper Pay Limit",$J36="N/A"),"N/A",VLOOKUP(CONCATENATE($E$12,$A$12,$D36),'Waiver Rate Table'!$B$8:$S$219,17,FALSE))))),"",IF(OR($I36="Unavailable",$O$32=""),"",(IF(OR($J36="Upper Pay Limit",$J36="N/A"),"N/A",VLOOKUP(CONCATENATE($E$12,$A$12,$D36),'Waiver Rate Table'!$B$8:$S$219,17,FALSE)))))</f>
        <v/>
      </c>
      <c r="P36" s="204"/>
      <c r="Q36" s="6" t="str">
        <f t="shared" si="35"/>
        <v/>
      </c>
      <c r="R36" s="28"/>
      <c r="S36" s="610"/>
      <c r="T36" s="610"/>
      <c r="U36" s="610"/>
      <c r="V36" s="610"/>
      <c r="W36" s="610"/>
      <c r="X36" s="610"/>
      <c r="Y36" s="610"/>
      <c r="Z36" s="610"/>
      <c r="AA36" s="610"/>
      <c r="AB36" s="610"/>
      <c r="AC36" s="610"/>
      <c r="AD36" s="610"/>
      <c r="AE36" s="468" t="str">
        <f t="shared" si="36"/>
        <v/>
      </c>
      <c r="AF36" s="468" t="str">
        <f>IF(ISERROR((IF(SUM(N36+R36)&gt;VLOOKUP(CONCATENATE($E$12,$A$12,$D36),'Waiver Rate Table'!$B$8:$S$182,11,FALSE),"x",""))),"",(IF(SUM(N36+R36)&gt;VLOOKUP(CONCATENATE($E$12,$A$12,$D36),'Waiver Rate Table'!$B$8:$S$182,11,FALSE),"x","")))</f>
        <v/>
      </c>
      <c r="AG36" s="32"/>
      <c r="AP36" s="570">
        <v>2</v>
      </c>
      <c r="AQ36" s="331" t="s">
        <v>191</v>
      </c>
      <c r="AR36" s="570">
        <v>28</v>
      </c>
      <c r="AS36" s="244"/>
      <c r="AT36" s="244"/>
      <c r="AU36" s="244"/>
      <c r="AV36" s="244"/>
      <c r="AW36" s="244"/>
      <c r="AX36" s="316">
        <v>31</v>
      </c>
      <c r="AY36" s="225" t="s">
        <v>3</v>
      </c>
      <c r="AZ36" s="244"/>
      <c r="BA36" s="244"/>
      <c r="BB36" s="317" t="str">
        <f t="shared" si="6"/>
        <v>425</v>
      </c>
      <c r="BC36" s="226" t="s">
        <v>13</v>
      </c>
      <c r="BD36" s="226" t="s">
        <v>14</v>
      </c>
      <c r="BE36" s="226" t="s">
        <v>26</v>
      </c>
      <c r="BF36" s="226" t="s">
        <v>28</v>
      </c>
      <c r="BG36" s="155">
        <v>26.84</v>
      </c>
      <c r="BH36" s="155">
        <v>25.15</v>
      </c>
      <c r="BI36" s="155">
        <v>20.149999999999999</v>
      </c>
      <c r="BJ36" s="227" t="s">
        <v>19</v>
      </c>
      <c r="BK36" s="226"/>
      <c r="BL36" s="317" t="str">
        <f t="shared" si="7"/>
        <v>425</v>
      </c>
      <c r="BM36" s="356">
        <v>43282</v>
      </c>
      <c r="BN36" s="356">
        <v>43282</v>
      </c>
      <c r="BO36" s="360" t="s">
        <v>26</v>
      </c>
      <c r="BP36" s="358" t="s">
        <v>28</v>
      </c>
      <c r="BQ36" s="400">
        <v>28.75</v>
      </c>
      <c r="BR36" s="400">
        <v>26.94</v>
      </c>
      <c r="BS36" s="400">
        <v>21.59</v>
      </c>
      <c r="BT36" s="359">
        <v>4</v>
      </c>
      <c r="BU36" s="42"/>
      <c r="BV36" s="317" t="str">
        <f t="shared" si="8"/>
        <v>425</v>
      </c>
      <c r="BW36" s="356">
        <v>43282</v>
      </c>
      <c r="BX36" s="356">
        <v>43282</v>
      </c>
      <c r="BY36" s="360" t="s">
        <v>26</v>
      </c>
      <c r="BZ36" s="358" t="s">
        <v>28</v>
      </c>
      <c r="CA36" s="448">
        <v>31.1</v>
      </c>
      <c r="CB36" s="448">
        <v>29.14</v>
      </c>
      <c r="CC36" s="448">
        <v>23.35</v>
      </c>
      <c r="CD36" s="359">
        <v>4</v>
      </c>
      <c r="CE36" s="226"/>
      <c r="CF36" s="313" t="str">
        <f t="shared" si="13"/>
        <v>222</v>
      </c>
      <c r="CG36" s="356">
        <v>43282</v>
      </c>
      <c r="CH36" s="356">
        <v>43282</v>
      </c>
      <c r="CI36" s="370" t="s">
        <v>15</v>
      </c>
      <c r="CJ36" s="370"/>
      <c r="CK36" s="371">
        <v>2</v>
      </c>
      <c r="CL36" s="371">
        <v>2</v>
      </c>
      <c r="CM36" s="370">
        <v>2</v>
      </c>
      <c r="CN36" s="494">
        <f>'FPS Pivot Table'!D46</f>
        <v>38.79</v>
      </c>
      <c r="CO36" s="158"/>
      <c r="CP36" s="313" t="str">
        <f t="shared" si="14"/>
        <v>222</v>
      </c>
      <c r="CQ36" s="356">
        <v>43282</v>
      </c>
      <c r="CR36" s="356">
        <v>43282</v>
      </c>
      <c r="CS36" s="370" t="s">
        <v>15</v>
      </c>
      <c r="CT36" s="370"/>
      <c r="CU36" s="371">
        <v>2</v>
      </c>
      <c r="CV36" s="371">
        <v>2</v>
      </c>
      <c r="CW36" s="370">
        <v>2</v>
      </c>
      <c r="CX36" s="494">
        <f>'FPS Pivot Table'!E46</f>
        <v>40.340000000000003</v>
      </c>
      <c r="CY36" s="661">
        <f t="shared" si="15"/>
        <v>41.95</v>
      </c>
      <c r="CZ36" s="158"/>
      <c r="DA36" s="313" t="str">
        <f t="shared" si="9"/>
        <v>222</v>
      </c>
      <c r="DB36" s="356">
        <v>43282</v>
      </c>
      <c r="DC36" s="356">
        <v>43282</v>
      </c>
      <c r="DD36" s="371" t="s">
        <v>375</v>
      </c>
      <c r="DE36" s="377"/>
      <c r="DF36" s="377">
        <v>2</v>
      </c>
      <c r="DG36" s="377">
        <v>2</v>
      </c>
      <c r="DH36" s="377">
        <v>2</v>
      </c>
      <c r="DI36" s="494">
        <f>'FPS Pivot Table'!F46</f>
        <v>55.11</v>
      </c>
      <c r="DJ36" s="244"/>
      <c r="DK36" s="313" t="str">
        <f t="shared" si="10"/>
        <v>222</v>
      </c>
      <c r="DL36" s="356">
        <v>43282</v>
      </c>
      <c r="DM36" s="356">
        <v>43282</v>
      </c>
      <c r="DN36" s="371" t="s">
        <v>375</v>
      </c>
      <c r="DO36" s="377"/>
      <c r="DP36" s="377">
        <v>2</v>
      </c>
      <c r="DQ36" s="377">
        <v>2</v>
      </c>
      <c r="DR36" s="377">
        <v>2</v>
      </c>
      <c r="DS36" s="494">
        <f>'FPS Pivot Table'!G46</f>
        <v>57.31</v>
      </c>
      <c r="DT36" s="661">
        <f t="shared" si="16"/>
        <v>59.6</v>
      </c>
      <c r="DU36" s="244"/>
      <c r="DV36" s="244"/>
      <c r="DW36" s="244"/>
      <c r="DX36" s="244"/>
      <c r="DY36" s="244"/>
      <c r="DZ36" s="228" t="str">
        <f t="shared" si="11"/>
        <v>MontgomerySupported Employment</v>
      </c>
      <c r="EA36" s="517" t="s">
        <v>168</v>
      </c>
      <c r="EB36" s="463" t="s">
        <v>152</v>
      </c>
      <c r="EC36" s="229">
        <v>23.43</v>
      </c>
      <c r="ED36" s="462">
        <v>28.64</v>
      </c>
      <c r="EE36" s="536">
        <f>'FY24_PCI2_Rates.locked v3'!$Q$16</f>
        <v>32.17</v>
      </c>
      <c r="EF36" s="661">
        <f t="shared" si="17"/>
        <v>33.46</v>
      </c>
      <c r="EG36" s="536"/>
      <c r="EH36" s="228" t="str">
        <f t="shared" si="12"/>
        <v>MontgomeryResidential</v>
      </c>
      <c r="EI36" s="228" t="s">
        <v>168</v>
      </c>
      <c r="EJ36" s="168" t="s">
        <v>376</v>
      </c>
      <c r="EK36" s="229">
        <v>21.09</v>
      </c>
      <c r="EL36" s="466">
        <v>25.78</v>
      </c>
      <c r="EM36" s="539">
        <f>'FY24_PCI2_Rates.locked v3'!$Q$23</f>
        <v>28.94</v>
      </c>
      <c r="EN36" s="661">
        <f t="shared" si="18"/>
        <v>30.1</v>
      </c>
      <c r="EO36" s="244"/>
      <c r="EP36" s="244"/>
      <c r="EQ36" s="244"/>
      <c r="ER36" s="244"/>
      <c r="ES36" s="244"/>
      <c r="ET36" s="244"/>
      <c r="EU36" s="244"/>
      <c r="EV36" s="244"/>
      <c r="EW36" s="244"/>
      <c r="EX36" s="244"/>
      <c r="EY36" s="244"/>
      <c r="EZ36" s="244"/>
      <c r="FA36" s="244"/>
      <c r="FB36" s="77"/>
      <c r="FC36" s="77"/>
      <c r="FD36" s="77"/>
      <c r="FE36" s="77"/>
      <c r="FF36" s="77"/>
      <c r="FG36" s="77"/>
      <c r="FH36" s="77"/>
      <c r="FI36" s="77"/>
      <c r="FJ36" s="77"/>
      <c r="FK36" s="77"/>
      <c r="FL36" s="77"/>
      <c r="FM36" s="77"/>
      <c r="FN36" s="77"/>
      <c r="FO36" s="77"/>
      <c r="FP36" s="77"/>
      <c r="FQ36" s="77"/>
      <c r="FR36" s="77"/>
      <c r="FS36" s="77"/>
      <c r="FT36" s="77"/>
      <c r="FU36" s="77"/>
      <c r="FV36" s="77"/>
      <c r="FW36" s="77"/>
    </row>
    <row r="37" spans="1:179">
      <c r="A37" s="468">
        <f>IF(B37&lt;&gt;"",SUM($B$19:B37),"")</f>
        <v>11</v>
      </c>
      <c r="B37" s="468">
        <f t="shared" si="33"/>
        <v>1</v>
      </c>
      <c r="D37" s="446" t="s">
        <v>400</v>
      </c>
      <c r="E37" s="428"/>
      <c r="F37" s="133"/>
      <c r="G37" s="134"/>
      <c r="H37" s="194"/>
      <c r="I37" s="451" t="str">
        <f>IF(ISERROR((IF($D37="","",VLOOKUP(CONCATENATE($E$12,$A$12,$D37),'Waiver Rate Table'!$B$8:$S$219,6,FALSE)))),"Unavailable",(IF($D37="","",VLOOKUP(CONCATENATE($E$12,$A$12,$D37),'Waiver Rate Table'!$B$8:$S$219,6,FALSE))))</f>
        <v>Unavailable</v>
      </c>
      <c r="J37" s="127" t="str">
        <f>IF(ISERROR((IF(I37="Unavailable","",VLOOKUP(CONCATENATE($E$12,$A$12,$D37),'Waiver Rate Table'!$B$8:$S$219,7,FALSE)))),"",(IF(I37="Unavailable","",VLOOKUP(CONCATENATE($E$12,$A$12,$D37),'Waiver Rate Table'!$B$8:$S$219,7,FALSE))))</f>
        <v/>
      </c>
      <c r="K37" s="104" t="str">
        <f>IF(ISERROR(IF(OR($I37="Unavailable",$K$32=""),"",IF(OR($J37="Upper Pay Limit",$J37="N/A"),"N/A",VLOOKUP(CONCATENATE($E$12,$A$12,$D37),'Waiver Rate Table'!$B$8:$S$219,16,FALSE)))),"",IF(OR($I37="Unavailable",$K$32=""),"",IF(OR($J37="Upper Pay Limit",$J37="N/A"),"N/A",VLOOKUP(CONCATENATE($E$12,$A$12,$D37),'Waiver Rate Table'!$B$8:$S$219,16,FALSE))))</f>
        <v/>
      </c>
      <c r="L37" s="204"/>
      <c r="M37" s="6" t="str">
        <f t="shared" si="34"/>
        <v/>
      </c>
      <c r="N37" s="28"/>
      <c r="O37" s="104" t="str">
        <f>IF(ISERROR(IF(OR($I37="Unavailable",$O$32=""),"",(IF(OR($J37="Upper Pay Limit",$J37="N/A"),"N/A",VLOOKUP(CONCATENATE($E$12,$A$12,$D37),'Waiver Rate Table'!$B$8:$S$219,17,FALSE))))),"",IF(OR($I37="Unavailable",$O$32=""),"",(IF(OR($J37="Upper Pay Limit",$J37="N/A"),"N/A",VLOOKUP(CONCATENATE($E$12,$A$12,$D37),'Waiver Rate Table'!$B$8:$S$219,17,FALSE)))))</f>
        <v/>
      </c>
      <c r="P37" s="204"/>
      <c r="Q37" s="6" t="str">
        <f t="shared" si="35"/>
        <v/>
      </c>
      <c r="R37" s="28"/>
      <c r="S37" s="610"/>
      <c r="T37" s="610"/>
      <c r="U37" s="610"/>
      <c r="V37" s="610"/>
      <c r="W37" s="610"/>
      <c r="X37" s="610"/>
      <c r="Y37" s="610"/>
      <c r="Z37" s="610"/>
      <c r="AA37" s="610"/>
      <c r="AB37" s="610"/>
      <c r="AC37" s="610"/>
      <c r="AD37" s="610"/>
      <c r="AE37" s="468" t="str">
        <f t="shared" si="36"/>
        <v/>
      </c>
      <c r="AF37" s="468" t="str">
        <f>IF(ISERROR((IF(SUM(N37+R37)&gt;VLOOKUP(CONCATENATE($E$12,$A$12,$D37),'Waiver Rate Table'!$B$8:$S$182,11,FALSE),"x",""))),"",(IF(SUM(N37+R37)&gt;VLOOKUP(CONCATENATE($E$12,$A$12,$D37),'Waiver Rate Table'!$B$8:$S$182,11,FALSE),"x","")))</f>
        <v/>
      </c>
      <c r="AG37" s="32"/>
      <c r="AP37" s="570">
        <v>3</v>
      </c>
      <c r="AQ37" s="331" t="s">
        <v>192</v>
      </c>
      <c r="AR37" s="570">
        <v>31</v>
      </c>
      <c r="AS37" s="244"/>
      <c r="AT37" s="244"/>
      <c r="AU37" s="244"/>
      <c r="AV37" s="244"/>
      <c r="AW37" s="244"/>
      <c r="AX37" s="316">
        <v>32</v>
      </c>
      <c r="AY37" s="225" t="s">
        <v>3</v>
      </c>
      <c r="AZ37" s="244"/>
      <c r="BA37" s="244"/>
      <c r="BB37" s="317" t="str">
        <f t="shared" ref="BB37:BB58" si="39">CONCATENATE(BJ37,BF37)</f>
        <v>426</v>
      </c>
      <c r="BC37" s="226" t="s">
        <v>13</v>
      </c>
      <c r="BD37" s="226" t="s">
        <v>14</v>
      </c>
      <c r="BE37" s="226" t="s">
        <v>26</v>
      </c>
      <c r="BF37" s="226" t="s">
        <v>29</v>
      </c>
      <c r="BG37" s="155">
        <v>25.99</v>
      </c>
      <c r="BH37" s="155">
        <v>24.36</v>
      </c>
      <c r="BI37" s="155">
        <v>19.53</v>
      </c>
      <c r="BJ37" s="227" t="s">
        <v>19</v>
      </c>
      <c r="BK37" s="226"/>
      <c r="BL37" s="317" t="str">
        <f t="shared" si="7"/>
        <v>423-24</v>
      </c>
      <c r="BM37" s="356">
        <v>43282</v>
      </c>
      <c r="BN37" s="356">
        <v>43282</v>
      </c>
      <c r="BO37" s="360" t="s">
        <v>26</v>
      </c>
      <c r="BP37" s="358" t="s">
        <v>2</v>
      </c>
      <c r="BQ37" s="400">
        <v>29.7</v>
      </c>
      <c r="BR37" s="400">
        <v>27.84</v>
      </c>
      <c r="BS37" s="400">
        <v>22.29</v>
      </c>
      <c r="BT37" s="359">
        <v>4</v>
      </c>
      <c r="BU37" s="42"/>
      <c r="BV37" s="317" t="str">
        <f t="shared" si="8"/>
        <v>423-24</v>
      </c>
      <c r="BW37" s="356">
        <v>43282</v>
      </c>
      <c r="BX37" s="356">
        <v>43282</v>
      </c>
      <c r="BY37" s="360" t="s">
        <v>26</v>
      </c>
      <c r="BZ37" s="358" t="s">
        <v>2</v>
      </c>
      <c r="CA37" s="448">
        <v>32.130000000000003</v>
      </c>
      <c r="CB37" s="448">
        <v>30.11</v>
      </c>
      <c r="CC37" s="448">
        <v>24.11</v>
      </c>
      <c r="CD37" s="359">
        <v>4</v>
      </c>
      <c r="CE37" s="226"/>
      <c r="CF37" s="313" t="str">
        <f t="shared" si="13"/>
        <v>223</v>
      </c>
      <c r="CG37" s="356">
        <v>43282</v>
      </c>
      <c r="CH37" s="356">
        <v>43282</v>
      </c>
      <c r="CI37" s="370" t="s">
        <v>15</v>
      </c>
      <c r="CJ37" s="370"/>
      <c r="CK37" s="371">
        <v>2</v>
      </c>
      <c r="CL37" s="371">
        <v>3</v>
      </c>
      <c r="CM37" s="370">
        <v>2</v>
      </c>
      <c r="CN37" s="494">
        <f>'FPS Pivot Table'!D47</f>
        <v>43.86</v>
      </c>
      <c r="CO37" s="158"/>
      <c r="CP37" s="313" t="str">
        <f t="shared" si="14"/>
        <v>223</v>
      </c>
      <c r="CQ37" s="356">
        <v>43282</v>
      </c>
      <c r="CR37" s="356">
        <v>43282</v>
      </c>
      <c r="CS37" s="370" t="s">
        <v>15</v>
      </c>
      <c r="CT37" s="370"/>
      <c r="CU37" s="371">
        <v>2</v>
      </c>
      <c r="CV37" s="371">
        <v>3</v>
      </c>
      <c r="CW37" s="370">
        <v>2</v>
      </c>
      <c r="CX37" s="494">
        <f>'FPS Pivot Table'!E47</f>
        <v>45.62</v>
      </c>
      <c r="CY37" s="661">
        <f t="shared" si="15"/>
        <v>47.44</v>
      </c>
      <c r="CZ37" s="158"/>
      <c r="DA37" s="313" t="str">
        <f t="shared" si="9"/>
        <v>223</v>
      </c>
      <c r="DB37" s="356">
        <v>43282</v>
      </c>
      <c r="DC37" s="356">
        <v>43282</v>
      </c>
      <c r="DD37" s="371" t="s">
        <v>375</v>
      </c>
      <c r="DE37" s="377"/>
      <c r="DF37" s="377">
        <v>2</v>
      </c>
      <c r="DG37" s="377">
        <v>3</v>
      </c>
      <c r="DH37" s="377">
        <v>2</v>
      </c>
      <c r="DI37" s="494">
        <f>'FPS Pivot Table'!F47</f>
        <v>59.52</v>
      </c>
      <c r="DJ37" s="244"/>
      <c r="DK37" s="313" t="str">
        <f t="shared" ref="DK37:DK68" si="40">CONCATENATE(DR37,DP37,DQ37)</f>
        <v>223</v>
      </c>
      <c r="DL37" s="356">
        <v>43282</v>
      </c>
      <c r="DM37" s="356">
        <v>43282</v>
      </c>
      <c r="DN37" s="371" t="s">
        <v>375</v>
      </c>
      <c r="DO37" s="377"/>
      <c r="DP37" s="377">
        <v>2</v>
      </c>
      <c r="DQ37" s="377">
        <v>3</v>
      </c>
      <c r="DR37" s="377">
        <v>2</v>
      </c>
      <c r="DS37" s="494">
        <f>'FPS Pivot Table'!G47</f>
        <v>61.91</v>
      </c>
      <c r="DT37" s="661">
        <f t="shared" si="16"/>
        <v>64.39</v>
      </c>
      <c r="DU37" s="244"/>
      <c r="DV37" s="244"/>
      <c r="DW37" s="244"/>
      <c r="DX37" s="244"/>
      <c r="DY37" s="244"/>
      <c r="DZ37" s="228" t="str">
        <f t="shared" si="11"/>
        <v>Prince George'sDay</v>
      </c>
      <c r="EA37" s="517" t="s">
        <v>167</v>
      </c>
      <c r="EB37" s="463" t="s">
        <v>134</v>
      </c>
      <c r="EC37" s="229">
        <v>23.43</v>
      </c>
      <c r="ED37" s="462">
        <v>28.64</v>
      </c>
      <c r="EE37" s="536">
        <f>'FY24_PCI2_Rates.locked v3'!$Q$16</f>
        <v>32.17</v>
      </c>
      <c r="EF37" s="661">
        <f t="shared" si="17"/>
        <v>33.46</v>
      </c>
      <c r="EG37" s="536"/>
      <c r="EH37" s="228" t="str">
        <f t="shared" si="12"/>
        <v>Prince George'sResidential</v>
      </c>
      <c r="EI37" s="228" t="s">
        <v>167</v>
      </c>
      <c r="EJ37" s="168" t="s">
        <v>376</v>
      </c>
      <c r="EK37" s="229">
        <v>21.09</v>
      </c>
      <c r="EL37" s="466">
        <v>25.78</v>
      </c>
      <c r="EM37" s="539">
        <f>'FY24_PCI2_Rates.locked v3'!$Q$23</f>
        <v>28.94</v>
      </c>
      <c r="EN37" s="661">
        <f t="shared" si="18"/>
        <v>30.1</v>
      </c>
      <c r="EO37" s="244"/>
      <c r="EP37" s="244"/>
      <c r="EQ37" s="244"/>
      <c r="ER37" s="244"/>
      <c r="ES37" s="244"/>
      <c r="ET37" s="244"/>
      <c r="EU37" s="244"/>
      <c r="EV37" s="244"/>
      <c r="EW37" s="244"/>
      <c r="EX37" s="244"/>
      <c r="EY37" s="244"/>
      <c r="EZ37" s="244"/>
      <c r="FA37" s="244"/>
      <c r="FB37" s="77"/>
      <c r="FC37" s="77"/>
      <c r="FD37" s="77"/>
      <c r="FE37" s="77"/>
      <c r="FF37" s="77"/>
      <c r="FG37" s="77"/>
      <c r="FH37" s="77"/>
      <c r="FI37" s="77"/>
      <c r="FJ37" s="77"/>
      <c r="FK37" s="77"/>
      <c r="FL37" s="77"/>
      <c r="FM37" s="77"/>
      <c r="FN37" s="77"/>
      <c r="FO37" s="77"/>
      <c r="FP37" s="77"/>
      <c r="FQ37" s="77"/>
      <c r="FR37" s="77"/>
      <c r="FS37" s="77"/>
      <c r="FT37" s="77"/>
      <c r="FU37" s="77"/>
      <c r="FV37" s="77"/>
      <c r="FW37" s="77"/>
    </row>
    <row r="38" spans="1:179">
      <c r="A38" s="468">
        <f>IF(B38&lt;&gt;"",SUM($B$19:B38),"")</f>
        <v>12</v>
      </c>
      <c r="B38" s="468">
        <f t="shared" si="33"/>
        <v>1</v>
      </c>
      <c r="D38" s="446" t="s">
        <v>66</v>
      </c>
      <c r="E38" s="428"/>
      <c r="F38" s="133"/>
      <c r="G38" s="134"/>
      <c r="H38" s="194"/>
      <c r="I38" s="451" t="str">
        <f>IF(ISERROR((IF($D38="","",VLOOKUP(CONCATENATE($E$12,$A$12,$D38),'Waiver Rate Table'!$B$8:$S$219,6,FALSE)))),"Unavailable",(IF($D38="","",VLOOKUP(CONCATENATE($E$12,$A$12,$D38),'Waiver Rate Table'!$B$8:$S$219,6,FALSE))))</f>
        <v>Unavailable</v>
      </c>
      <c r="J38" s="127" t="str">
        <f>IF(ISERROR((IF(I38="Unavailable","",VLOOKUP(CONCATENATE($E$12,$A$12,$D38),'Waiver Rate Table'!$B$8:$S$219,7,FALSE)))),"",(IF(I38="Unavailable","",VLOOKUP(CONCATENATE($E$12,$A$12,$D38),'Waiver Rate Table'!$B$8:$S$219,7,FALSE))))</f>
        <v/>
      </c>
      <c r="K38" s="104" t="str">
        <f>IF(ISERROR(IF(OR($I38="Unavailable",$K$32=""),"",IF(OR($J38="Upper Pay Limit",$J38="N/A"),"N/A",VLOOKUP(CONCATENATE($E$12,$A$12,$D38),'Waiver Rate Table'!$B$8:$S$219,16,FALSE)))),"",IF(OR($I38="Unavailable",$K$32=""),"",IF(OR($J38="Upper Pay Limit",$J38="N/A"),"N/A",VLOOKUP(CONCATENATE($E$12,$A$12,$D38),'Waiver Rate Table'!$B$8:$S$219,16,FALSE))))</f>
        <v/>
      </c>
      <c r="L38" s="204"/>
      <c r="M38" s="6" t="str">
        <f t="shared" si="34"/>
        <v/>
      </c>
      <c r="N38" s="28"/>
      <c r="O38" s="104" t="str">
        <f>IF(ISERROR(IF(OR($I38="Unavailable",$O$32=""),"",(IF(OR($J38="Upper Pay Limit",$J38="N/A"),"N/A",VLOOKUP(CONCATENATE($E$12,$A$12,$D38),'Waiver Rate Table'!$B$8:$S$219,17,FALSE))))),"",IF(OR($I38="Unavailable",$O$32=""),"",(IF(OR($J38="Upper Pay Limit",$J38="N/A"),"N/A",VLOOKUP(CONCATENATE($E$12,$A$12,$D38),'Waiver Rate Table'!$B$8:$S$219,17,FALSE)))))</f>
        <v/>
      </c>
      <c r="P38" s="204"/>
      <c r="Q38" s="6" t="str">
        <f t="shared" si="35"/>
        <v/>
      </c>
      <c r="R38" s="28"/>
      <c r="S38" s="610"/>
      <c r="T38" s="610"/>
      <c r="U38" s="610"/>
      <c r="V38" s="610"/>
      <c r="W38" s="610"/>
      <c r="X38" s="610"/>
      <c r="Y38" s="610"/>
      <c r="Z38" s="610"/>
      <c r="AA38" s="610"/>
      <c r="AB38" s="610"/>
      <c r="AC38" s="610"/>
      <c r="AD38" s="610"/>
      <c r="AE38" s="468" t="str">
        <f t="shared" si="36"/>
        <v/>
      </c>
      <c r="AF38" s="468" t="str">
        <f>IF(ISERROR((IF(SUM(N38+R38)&gt;VLOOKUP(CONCATENATE($E$12,$A$12,$D38),'Waiver Rate Table'!$B$8:$S$182,11,FALSE),"x",""))),"",(IF(SUM(N38+R38)&gt;VLOOKUP(CONCATENATE($E$12,$A$12,$D38),'Waiver Rate Table'!$B$8:$S$182,11,FALSE),"x","")))</f>
        <v/>
      </c>
      <c r="AG38" s="32"/>
      <c r="AP38" s="570">
        <v>4</v>
      </c>
      <c r="AQ38" s="331" t="s">
        <v>193</v>
      </c>
      <c r="AR38" s="570">
        <v>30</v>
      </c>
      <c r="AS38" s="468">
        <f>AP18*(1+AT32)</f>
        <v>41.617349999999995</v>
      </c>
      <c r="AT38" s="244"/>
      <c r="AU38" s="244"/>
      <c r="AV38" s="244"/>
      <c r="AW38" s="244"/>
      <c r="AX38" s="316">
        <v>33</v>
      </c>
      <c r="AY38" s="225" t="s">
        <v>3</v>
      </c>
      <c r="AZ38" s="244"/>
      <c r="BA38" s="244"/>
      <c r="BB38" s="317" t="str">
        <f t="shared" si="39"/>
        <v>427</v>
      </c>
      <c r="BC38" s="226" t="s">
        <v>13</v>
      </c>
      <c r="BD38" s="226" t="s">
        <v>14</v>
      </c>
      <c r="BE38" s="226" t="s">
        <v>26</v>
      </c>
      <c r="BF38" s="226" t="s">
        <v>30</v>
      </c>
      <c r="BG38" s="155">
        <v>25.22</v>
      </c>
      <c r="BH38" s="155">
        <v>23.63</v>
      </c>
      <c r="BI38" s="155">
        <v>18.93</v>
      </c>
      <c r="BJ38" s="227" t="s">
        <v>19</v>
      </c>
      <c r="BK38" s="226"/>
      <c r="BL38" s="317" t="str">
        <f t="shared" si="7"/>
        <v>420-22</v>
      </c>
      <c r="BM38" s="356">
        <v>43282</v>
      </c>
      <c r="BN38" s="356">
        <v>43282</v>
      </c>
      <c r="BO38" s="360" t="s">
        <v>26</v>
      </c>
      <c r="BP38" s="358" t="s">
        <v>1</v>
      </c>
      <c r="BQ38" s="400">
        <v>30.73</v>
      </c>
      <c r="BR38" s="400">
        <v>28.81</v>
      </c>
      <c r="BS38" s="400">
        <v>23.08</v>
      </c>
      <c r="BT38" s="359">
        <v>4</v>
      </c>
      <c r="BU38" s="42"/>
      <c r="BV38" s="317" t="str">
        <f t="shared" si="8"/>
        <v>420-22</v>
      </c>
      <c r="BW38" s="356">
        <v>43282</v>
      </c>
      <c r="BX38" s="356">
        <v>43282</v>
      </c>
      <c r="BY38" s="360" t="s">
        <v>26</v>
      </c>
      <c r="BZ38" s="358" t="s">
        <v>1</v>
      </c>
      <c r="CA38" s="448">
        <v>33.24</v>
      </c>
      <c r="CB38" s="448">
        <v>31.16</v>
      </c>
      <c r="CC38" s="448">
        <v>24.96</v>
      </c>
      <c r="CD38" s="359">
        <v>4</v>
      </c>
      <c r="CE38" s="226"/>
      <c r="CF38" s="313" t="str">
        <f t="shared" si="13"/>
        <v>224</v>
      </c>
      <c r="CG38" s="356">
        <v>43282</v>
      </c>
      <c r="CH38" s="356">
        <v>43282</v>
      </c>
      <c r="CI38" s="370" t="s">
        <v>15</v>
      </c>
      <c r="CJ38" s="370"/>
      <c r="CK38" s="371">
        <v>2</v>
      </c>
      <c r="CL38" s="371">
        <v>4</v>
      </c>
      <c r="CM38" s="370">
        <v>2</v>
      </c>
      <c r="CN38" s="494">
        <f>'FPS Pivot Table'!D48</f>
        <v>50.6</v>
      </c>
      <c r="CO38" s="158"/>
      <c r="CP38" s="313" t="str">
        <f t="shared" si="14"/>
        <v>224</v>
      </c>
      <c r="CQ38" s="356">
        <v>43282</v>
      </c>
      <c r="CR38" s="356">
        <v>43282</v>
      </c>
      <c r="CS38" s="370" t="s">
        <v>15</v>
      </c>
      <c r="CT38" s="370"/>
      <c r="CU38" s="371">
        <v>2</v>
      </c>
      <c r="CV38" s="371">
        <v>4</v>
      </c>
      <c r="CW38" s="370">
        <v>2</v>
      </c>
      <c r="CX38" s="494">
        <f>'FPS Pivot Table'!E48</f>
        <v>52.63</v>
      </c>
      <c r="CY38" s="661">
        <f t="shared" si="15"/>
        <v>54.74</v>
      </c>
      <c r="CZ38" s="158"/>
      <c r="DA38" s="313" t="str">
        <f t="shared" si="9"/>
        <v>224</v>
      </c>
      <c r="DB38" s="356">
        <v>43282</v>
      </c>
      <c r="DC38" s="356">
        <v>43282</v>
      </c>
      <c r="DD38" s="371" t="s">
        <v>375</v>
      </c>
      <c r="DE38" s="377"/>
      <c r="DF38" s="377">
        <v>2</v>
      </c>
      <c r="DG38" s="377">
        <v>4</v>
      </c>
      <c r="DH38" s="377">
        <v>2</v>
      </c>
      <c r="DI38" s="494">
        <f>'FPS Pivot Table'!F48</f>
        <v>65.510000000000005</v>
      </c>
      <c r="DJ38" s="244"/>
      <c r="DK38" s="313" t="str">
        <f t="shared" si="40"/>
        <v>224</v>
      </c>
      <c r="DL38" s="356">
        <v>43282</v>
      </c>
      <c r="DM38" s="356">
        <v>43282</v>
      </c>
      <c r="DN38" s="371" t="s">
        <v>375</v>
      </c>
      <c r="DO38" s="377"/>
      <c r="DP38" s="377">
        <v>2</v>
      </c>
      <c r="DQ38" s="377">
        <v>4</v>
      </c>
      <c r="DR38" s="377">
        <v>2</v>
      </c>
      <c r="DS38" s="494">
        <f>'FPS Pivot Table'!G48</f>
        <v>68.13</v>
      </c>
      <c r="DT38" s="661">
        <f t="shared" si="16"/>
        <v>70.86</v>
      </c>
      <c r="DU38" s="244"/>
      <c r="DV38" s="244"/>
      <c r="DW38" s="244"/>
      <c r="DX38" s="244"/>
      <c r="DY38" s="244"/>
      <c r="DZ38" s="228" t="str">
        <f t="shared" si="11"/>
        <v>Prince George'sSupported Employment</v>
      </c>
      <c r="EA38" s="517" t="s">
        <v>167</v>
      </c>
      <c r="EB38" s="463" t="s">
        <v>152</v>
      </c>
      <c r="EC38" s="229">
        <v>23.43</v>
      </c>
      <c r="ED38" s="462">
        <v>28.64</v>
      </c>
      <c r="EE38" s="536">
        <f>'FY24_PCI2_Rates.locked v3'!$Q$16</f>
        <v>32.17</v>
      </c>
      <c r="EF38" s="661">
        <f t="shared" si="17"/>
        <v>33.46</v>
      </c>
      <c r="EG38" s="536"/>
      <c r="EH38" s="228" t="str">
        <f t="shared" si="12"/>
        <v>Prince George'sResidential</v>
      </c>
      <c r="EI38" s="228" t="s">
        <v>167</v>
      </c>
      <c r="EJ38" s="168" t="s">
        <v>376</v>
      </c>
      <c r="EK38" s="229">
        <v>21.09</v>
      </c>
      <c r="EL38" s="466">
        <v>25.78</v>
      </c>
      <c r="EM38" s="539">
        <f>'FY24_PCI2_Rates.locked v3'!$Q$23</f>
        <v>28.94</v>
      </c>
      <c r="EN38" s="661">
        <f t="shared" si="18"/>
        <v>30.1</v>
      </c>
      <c r="EO38" s="244"/>
      <c r="EP38" s="244"/>
      <c r="EQ38" s="244"/>
      <c r="ER38" s="244"/>
      <c r="ES38" s="244"/>
      <c r="ET38" s="244"/>
      <c r="EU38" s="244"/>
      <c r="EV38" s="244"/>
      <c r="EW38" s="244"/>
      <c r="EX38" s="244"/>
      <c r="EY38" s="244"/>
      <c r="EZ38" s="244"/>
      <c r="FA38" s="244"/>
      <c r="FB38" s="77"/>
      <c r="FC38" s="77"/>
      <c r="FD38" s="77"/>
      <c r="FE38" s="77"/>
      <c r="FF38" s="77"/>
      <c r="FG38" s="77"/>
      <c r="FH38" s="77"/>
      <c r="FI38" s="77"/>
      <c r="FJ38" s="77"/>
      <c r="FK38" s="77"/>
      <c r="FL38" s="77"/>
      <c r="FM38" s="77"/>
      <c r="FN38" s="77"/>
      <c r="FO38" s="77"/>
      <c r="FP38" s="77"/>
      <c r="FQ38" s="77"/>
      <c r="FR38" s="77"/>
      <c r="FS38" s="77"/>
      <c r="FT38" s="77"/>
      <c r="FU38" s="77"/>
      <c r="FV38" s="77"/>
      <c r="FW38" s="77"/>
    </row>
    <row r="39" spans="1:179">
      <c r="A39" s="468">
        <f>IF(B39&lt;&gt;"",SUM($B$19:B39),"")</f>
        <v>13</v>
      </c>
      <c r="B39" s="468">
        <f t="shared" si="33"/>
        <v>1</v>
      </c>
      <c r="D39" s="446" t="s">
        <v>76</v>
      </c>
      <c r="E39" s="428"/>
      <c r="F39" s="133"/>
      <c r="G39" s="134"/>
      <c r="H39" s="194"/>
      <c r="I39" s="451" t="str">
        <f>IF(ISERROR((IF($D39="","",VLOOKUP(CONCATENATE($E$12,$A$12,$D39),'Waiver Rate Table'!$B$8:$S$219,6,FALSE)))),"Unavailable",(IF($D39="","",VLOOKUP(CONCATENATE($E$12,$A$12,$D39),'Waiver Rate Table'!$B$8:$S$219,6,FALSE))))</f>
        <v>Unavailable</v>
      </c>
      <c r="J39" s="127" t="str">
        <f>IF(ISERROR((IF(I39="Unavailable","",VLOOKUP(CONCATENATE($E$12,$A$12,$D39),'Waiver Rate Table'!$B$8:$S$219,7,FALSE)))),"",(IF(I39="Unavailable","",VLOOKUP(CONCATENATE($E$12,$A$12,$D39),'Waiver Rate Table'!$B$8:$S$219,7,FALSE))))</f>
        <v/>
      </c>
      <c r="K39" s="104" t="str">
        <f>IF(ISERROR(IF(OR($I39="Unavailable",$K$32=""),"",IF(OR($J39="Upper Pay Limit",$J39="N/A"),"N/A",VLOOKUP(CONCATENATE($E$12,$A$12,$D39),'Waiver Rate Table'!$B$8:$S$219,16,FALSE)))),"",IF(OR($I39="Unavailable",$K$32=""),"",IF(OR($J39="Upper Pay Limit",$J39="N/A"),"N/A",VLOOKUP(CONCATENATE($E$12,$A$12,$D39),'Waiver Rate Table'!$B$8:$S$219,16,FALSE))))</f>
        <v/>
      </c>
      <c r="L39" s="204"/>
      <c r="M39" s="6" t="str">
        <f t="shared" si="34"/>
        <v/>
      </c>
      <c r="N39" s="28"/>
      <c r="O39" s="104" t="str">
        <f>IF(ISERROR(IF(OR($I39="Unavailable",$O$32=""),"",(IF(OR($J39="Upper Pay Limit",$J39="N/A"),"N/A",VLOOKUP(CONCATENATE($E$12,$A$12,$D39),'Waiver Rate Table'!$B$8:$S$219,17,FALSE))))),"",IF(OR($I39="Unavailable",$O$32=""),"",(IF(OR($J39="Upper Pay Limit",$J39="N/A"),"N/A",VLOOKUP(CONCATENATE($E$12,$A$12,$D39),'Waiver Rate Table'!$B$8:$S$219,17,FALSE)))))</f>
        <v/>
      </c>
      <c r="P39" s="204"/>
      <c r="Q39" s="6" t="str">
        <f t="shared" si="35"/>
        <v/>
      </c>
      <c r="R39" s="28"/>
      <c r="S39" s="610"/>
      <c r="T39" s="610"/>
      <c r="U39" s="610"/>
      <c r="V39" s="610"/>
      <c r="W39" s="610"/>
      <c r="X39" s="610"/>
      <c r="Y39" s="610"/>
      <c r="Z39" s="610"/>
      <c r="AA39" s="610"/>
      <c r="AB39" s="610"/>
      <c r="AC39" s="610"/>
      <c r="AD39" s="610"/>
      <c r="AE39" s="468" t="str">
        <f t="shared" si="36"/>
        <v/>
      </c>
      <c r="AF39" s="468" t="str">
        <f>IF(ISERROR((IF(SUM(N39+R39)&gt;VLOOKUP(CONCATENATE($E$12,$A$12,$D39),'Waiver Rate Table'!$B$8:$S$182,11,FALSE),"x",""))),"",(IF(SUM(N39+R39)&gt;VLOOKUP(CONCATENATE($E$12,$A$12,$D39),'Waiver Rate Table'!$B$8:$S$182,11,FALSE),"x","")))</f>
        <v/>
      </c>
      <c r="AG39" s="32"/>
      <c r="AP39" s="570">
        <v>5</v>
      </c>
      <c r="AQ39" s="331" t="s">
        <v>194</v>
      </c>
      <c r="AR39" s="570">
        <v>31</v>
      </c>
      <c r="AS39" s="244"/>
      <c r="AT39" s="244"/>
      <c r="AU39" s="244"/>
      <c r="AV39" s="244"/>
      <c r="AW39" s="244"/>
      <c r="AX39" s="316">
        <v>34</v>
      </c>
      <c r="AY39" s="225" t="s">
        <v>3</v>
      </c>
      <c r="AZ39" s="244"/>
      <c r="BA39" s="244"/>
      <c r="BB39" s="317" t="str">
        <f t="shared" si="39"/>
        <v>428-82</v>
      </c>
      <c r="BC39" s="226" t="s">
        <v>13</v>
      </c>
      <c r="BD39" s="226" t="s">
        <v>14</v>
      </c>
      <c r="BE39" s="226" t="s">
        <v>26</v>
      </c>
      <c r="BF39" s="226" t="s">
        <v>3</v>
      </c>
      <c r="BG39" s="155">
        <v>24.85</v>
      </c>
      <c r="BH39" s="155">
        <v>23.29</v>
      </c>
      <c r="BI39" s="155">
        <v>18.670000000000002</v>
      </c>
      <c r="BJ39" s="227" t="s">
        <v>19</v>
      </c>
      <c r="BK39" s="226"/>
      <c r="BL39" s="317" t="str">
        <f t="shared" si="7"/>
        <v>41-19</v>
      </c>
      <c r="BM39" s="356">
        <v>43282</v>
      </c>
      <c r="BN39" s="356">
        <v>43282</v>
      </c>
      <c r="BO39" s="360" t="s">
        <v>26</v>
      </c>
      <c r="BP39" s="358" t="s">
        <v>0</v>
      </c>
      <c r="BQ39" s="400">
        <v>32.14</v>
      </c>
      <c r="BR39" s="400">
        <v>29.9</v>
      </c>
      <c r="BS39" s="400">
        <v>23.96</v>
      </c>
      <c r="BT39" s="359">
        <v>4</v>
      </c>
      <c r="BU39" s="42"/>
      <c r="BV39" s="317" t="str">
        <f t="shared" si="8"/>
        <v>41-19</v>
      </c>
      <c r="BW39" s="356">
        <v>43282</v>
      </c>
      <c r="BX39" s="356">
        <v>43282</v>
      </c>
      <c r="BY39" s="360" t="s">
        <v>26</v>
      </c>
      <c r="BZ39" s="358" t="s">
        <v>0</v>
      </c>
      <c r="CA39" s="448">
        <v>34.770000000000003</v>
      </c>
      <c r="CB39" s="448">
        <v>32.340000000000003</v>
      </c>
      <c r="CC39" s="448">
        <v>25.92</v>
      </c>
      <c r="CD39" s="359">
        <v>4</v>
      </c>
      <c r="CE39" s="226"/>
      <c r="CF39" s="313" t="str">
        <f t="shared" si="13"/>
        <v>225</v>
      </c>
      <c r="CG39" s="356">
        <v>43282</v>
      </c>
      <c r="CH39" s="356">
        <v>43282</v>
      </c>
      <c r="CI39" s="370" t="s">
        <v>15</v>
      </c>
      <c r="CJ39" s="370"/>
      <c r="CK39" s="371">
        <v>2</v>
      </c>
      <c r="CL39" s="371">
        <v>5</v>
      </c>
      <c r="CM39" s="370">
        <v>2</v>
      </c>
      <c r="CN39" s="494">
        <f>'FPS Pivot Table'!D49</f>
        <v>56.6</v>
      </c>
      <c r="CO39" s="158"/>
      <c r="CP39" s="313" t="str">
        <f t="shared" si="14"/>
        <v>225</v>
      </c>
      <c r="CQ39" s="356">
        <v>43282</v>
      </c>
      <c r="CR39" s="356">
        <v>43282</v>
      </c>
      <c r="CS39" s="370" t="s">
        <v>15</v>
      </c>
      <c r="CT39" s="370"/>
      <c r="CU39" s="371">
        <v>2</v>
      </c>
      <c r="CV39" s="371">
        <v>5</v>
      </c>
      <c r="CW39" s="370">
        <v>2</v>
      </c>
      <c r="CX39" s="494">
        <f>'FPS Pivot Table'!E49</f>
        <v>58.86</v>
      </c>
      <c r="CY39" s="661">
        <f t="shared" si="15"/>
        <v>61.21</v>
      </c>
      <c r="CZ39" s="158"/>
      <c r="DA39" s="313" t="str">
        <f t="shared" si="9"/>
        <v>225</v>
      </c>
      <c r="DB39" s="356">
        <v>43282</v>
      </c>
      <c r="DC39" s="356">
        <v>43282</v>
      </c>
      <c r="DD39" s="371" t="s">
        <v>375</v>
      </c>
      <c r="DE39" s="371"/>
      <c r="DF39" s="371">
        <v>2</v>
      </c>
      <c r="DG39" s="371">
        <v>5</v>
      </c>
      <c r="DH39" s="371">
        <v>2</v>
      </c>
      <c r="DI39" s="494">
        <f>'FPS Pivot Table'!F49</f>
        <v>70.75</v>
      </c>
      <c r="DJ39" s="244"/>
      <c r="DK39" s="313" t="str">
        <f t="shared" si="40"/>
        <v>225</v>
      </c>
      <c r="DL39" s="356">
        <v>43282</v>
      </c>
      <c r="DM39" s="356">
        <v>43282</v>
      </c>
      <c r="DN39" s="371" t="s">
        <v>375</v>
      </c>
      <c r="DO39" s="371"/>
      <c r="DP39" s="371">
        <v>2</v>
      </c>
      <c r="DQ39" s="371">
        <v>5</v>
      </c>
      <c r="DR39" s="371">
        <v>2</v>
      </c>
      <c r="DS39" s="494">
        <f>'FPS Pivot Table'!G49</f>
        <v>73.58</v>
      </c>
      <c r="DT39" s="661">
        <f t="shared" si="16"/>
        <v>76.52</v>
      </c>
      <c r="DU39" s="244"/>
      <c r="DV39" s="244"/>
      <c r="DW39" s="244"/>
      <c r="DX39" s="244"/>
      <c r="DY39" s="244"/>
      <c r="DZ39" s="228" t="str">
        <f t="shared" si="11"/>
        <v>Queen Anne'sDay</v>
      </c>
      <c r="EA39" s="516" t="s">
        <v>164</v>
      </c>
      <c r="EB39" s="463" t="s">
        <v>134</v>
      </c>
      <c r="EC39" s="229">
        <v>22.11</v>
      </c>
      <c r="ED39" s="462">
        <v>27.03</v>
      </c>
      <c r="EE39" s="536">
        <f>'FY24_PCI2_Rates.locked v3'!$Q$15</f>
        <v>30.36</v>
      </c>
      <c r="EF39" s="661">
        <f t="shared" si="17"/>
        <v>31.57</v>
      </c>
      <c r="EG39" s="536"/>
      <c r="EH39" s="228" t="str">
        <f t="shared" si="12"/>
        <v>Queen Anne'sResidential</v>
      </c>
      <c r="EI39" s="228" t="s">
        <v>164</v>
      </c>
      <c r="EJ39" s="168" t="s">
        <v>376</v>
      </c>
      <c r="EK39" s="229">
        <v>19.78</v>
      </c>
      <c r="EL39" s="466">
        <v>24.18</v>
      </c>
      <c r="EM39" s="539">
        <f>'FY24_PCI2_Rates.locked v3'!$Q$22</f>
        <v>27.15</v>
      </c>
      <c r="EN39" s="661">
        <f t="shared" si="18"/>
        <v>28.24</v>
      </c>
      <c r="EO39" s="244"/>
      <c r="EP39" s="244"/>
      <c r="EQ39" s="244"/>
      <c r="ER39" s="244"/>
      <c r="ES39" s="244"/>
      <c r="ET39" s="244"/>
      <c r="EU39" s="244"/>
      <c r="EV39" s="244"/>
      <c r="EW39" s="244"/>
      <c r="EX39" s="244"/>
      <c r="EY39" s="244"/>
      <c r="EZ39" s="244"/>
      <c r="FA39" s="244"/>
      <c r="FB39" s="77"/>
      <c r="FC39" s="77"/>
      <c r="FD39" s="77"/>
      <c r="FE39" s="77"/>
      <c r="FF39" s="77"/>
      <c r="FG39" s="77"/>
      <c r="FH39" s="77"/>
      <c r="FI39" s="77"/>
      <c r="FJ39" s="77"/>
      <c r="FK39" s="77"/>
      <c r="FL39" s="77"/>
      <c r="FM39" s="77"/>
      <c r="FN39" s="77"/>
      <c r="FO39" s="77"/>
      <c r="FP39" s="77"/>
      <c r="FQ39" s="77"/>
      <c r="FR39" s="77"/>
      <c r="FS39" s="77"/>
      <c r="FT39" s="77"/>
      <c r="FU39" s="77"/>
      <c r="FV39" s="77"/>
      <c r="FW39" s="77"/>
    </row>
    <row r="40" spans="1:179" ht="15" thickBot="1">
      <c r="A40" s="468">
        <f>IF(B40&lt;&gt;"",SUM($B$19:B40),"")</f>
        <v>14</v>
      </c>
      <c r="B40" s="468">
        <f t="shared" si="33"/>
        <v>1</v>
      </c>
      <c r="D40" s="446" t="s">
        <v>86</v>
      </c>
      <c r="E40" s="428"/>
      <c r="F40" s="133"/>
      <c r="G40" s="134"/>
      <c r="H40" s="194"/>
      <c r="I40" s="451" t="str">
        <f>IF(ISERROR((IF($D40="","",VLOOKUP(CONCATENATE($E$12,$A$12,$D40),'Waiver Rate Table'!$B$8:$S$219,6,FALSE)))),"Unavailable",(IF($D40="","",VLOOKUP(CONCATENATE($E$12,$A$12,$D40),'Waiver Rate Table'!$B$8:$S$219,6,FALSE))))</f>
        <v>Unavailable</v>
      </c>
      <c r="J40" s="127" t="str">
        <f>IF(ISERROR((IF(I40="Unavailable","",VLOOKUP(CONCATENATE($E$12,$A$12,$D40),'Waiver Rate Table'!$B$8:$S$219,7,FALSE)))),"",(IF(I40="Unavailable","",VLOOKUP(CONCATENATE($E$12,$A$12,$D40),'Waiver Rate Table'!$B$8:$S$219,7,FALSE))))</f>
        <v/>
      </c>
      <c r="K40" s="104" t="str">
        <f>IF(ISERROR(IF(OR($I40="Unavailable",$K$32=""),"",IF(OR($J40="Upper Pay Limit",$J40="N/A"),"N/A",VLOOKUP(CONCATENATE($E$12,$A$12,$D40),'Waiver Rate Table'!$B$8:$S$219,16,FALSE)))),"",IF(OR($I40="Unavailable",$K$32=""),"",IF(OR($J40="Upper Pay Limit",$J40="N/A"),"N/A",VLOOKUP(CONCATENATE($E$12,$A$12,$D40),'Waiver Rate Table'!$B$8:$S$219,16,FALSE))))</f>
        <v/>
      </c>
      <c r="L40" s="204"/>
      <c r="M40" s="6" t="str">
        <f t="shared" si="34"/>
        <v/>
      </c>
      <c r="N40" s="28"/>
      <c r="O40" s="104" t="str">
        <f>IF(ISERROR(IF(OR($I40="Unavailable",$O$32=""),"",(IF(OR($J40="Upper Pay Limit",$J40="N/A"),"N/A",VLOOKUP(CONCATENATE($E$12,$A$12,$D40),'Waiver Rate Table'!$B$8:$S$219,17,FALSE))))),"",IF(OR($I40="Unavailable",$O$32=""),"",(IF(OR($J40="Upper Pay Limit",$J40="N/A"),"N/A",VLOOKUP(CONCATENATE($E$12,$A$12,$D40),'Waiver Rate Table'!$B$8:$S$219,17,FALSE)))))</f>
        <v/>
      </c>
      <c r="P40" s="204"/>
      <c r="Q40" s="6" t="str">
        <f t="shared" si="35"/>
        <v/>
      </c>
      <c r="R40" s="28"/>
      <c r="S40" s="610"/>
      <c r="T40" s="610"/>
      <c r="U40" s="610"/>
      <c r="V40" s="610"/>
      <c r="W40" s="610"/>
      <c r="X40" s="610"/>
      <c r="Y40" s="610"/>
      <c r="Z40" s="610"/>
      <c r="AA40" s="610"/>
      <c r="AB40" s="610"/>
      <c r="AC40" s="610"/>
      <c r="AD40" s="610"/>
      <c r="AE40" s="468" t="str">
        <f t="shared" si="36"/>
        <v/>
      </c>
      <c r="AF40" s="468" t="str">
        <f>IF(ISERROR((IF(SUM(N40+R40)&gt;VLOOKUP(CONCATENATE($E$12,$A$12,$D40),'Waiver Rate Table'!$B$8:$S$182,11,FALSE),"x",""))),"",(IF(SUM(N40+R40)&gt;VLOOKUP(CONCATENATE($E$12,$A$12,$D40),'Waiver Rate Table'!$B$8:$S$182,11,FALSE),"x","")))</f>
        <v/>
      </c>
      <c r="AG40" s="32"/>
      <c r="AP40" s="571">
        <v>6</v>
      </c>
      <c r="AQ40" s="332" t="s">
        <v>195</v>
      </c>
      <c r="AR40" s="571">
        <v>30</v>
      </c>
      <c r="AS40" s="244"/>
      <c r="AT40" s="244"/>
      <c r="AU40" s="244"/>
      <c r="AV40" s="244"/>
      <c r="AW40" s="244"/>
      <c r="AX40" s="316">
        <v>35</v>
      </c>
      <c r="AY40" s="225" t="s">
        <v>3</v>
      </c>
      <c r="AZ40" s="244"/>
      <c r="BA40" s="244"/>
      <c r="BB40" s="317" t="str">
        <f t="shared" si="39"/>
        <v>483-168</v>
      </c>
      <c r="BC40" s="226" t="s">
        <v>13</v>
      </c>
      <c r="BD40" s="226" t="s">
        <v>14</v>
      </c>
      <c r="BE40" s="226" t="s">
        <v>26</v>
      </c>
      <c r="BF40" s="226" t="s">
        <v>4</v>
      </c>
      <c r="BG40" s="155">
        <v>18.670000000000002</v>
      </c>
      <c r="BH40" s="155">
        <v>18.670000000000002</v>
      </c>
      <c r="BI40" s="155">
        <v>18.670000000000002</v>
      </c>
      <c r="BJ40" s="227" t="s">
        <v>19</v>
      </c>
      <c r="BK40" s="226"/>
      <c r="BL40" s="317" t="str">
        <f t="shared" si="7"/>
        <v>40</v>
      </c>
      <c r="BM40" s="356">
        <v>43282</v>
      </c>
      <c r="BN40" s="356">
        <v>43282</v>
      </c>
      <c r="BO40" s="360" t="s">
        <v>26</v>
      </c>
      <c r="BP40" s="358" t="s">
        <v>27</v>
      </c>
      <c r="BQ40" s="360">
        <v>0</v>
      </c>
      <c r="BR40" s="360">
        <v>0</v>
      </c>
      <c r="BS40" s="360">
        <v>0</v>
      </c>
      <c r="BT40" s="359">
        <v>4</v>
      </c>
      <c r="BU40" s="42"/>
      <c r="BV40" s="317" t="str">
        <f t="shared" si="8"/>
        <v>40</v>
      </c>
      <c r="BW40" s="356">
        <v>43282</v>
      </c>
      <c r="BX40" s="356">
        <v>43282</v>
      </c>
      <c r="BY40" s="360" t="s">
        <v>26</v>
      </c>
      <c r="BZ40" s="358" t="s">
        <v>27</v>
      </c>
      <c r="CA40" s="360">
        <v>0</v>
      </c>
      <c r="CB40" s="360">
        <v>0</v>
      </c>
      <c r="CC40" s="360">
        <v>0</v>
      </c>
      <c r="CD40" s="359">
        <v>4</v>
      </c>
      <c r="CE40" s="226"/>
      <c r="CF40" s="313" t="str">
        <f t="shared" si="13"/>
        <v>231</v>
      </c>
      <c r="CG40" s="356">
        <v>43282</v>
      </c>
      <c r="CH40" s="356">
        <v>43282</v>
      </c>
      <c r="CI40" s="370" t="s">
        <v>15</v>
      </c>
      <c r="CJ40" s="370"/>
      <c r="CK40" s="371">
        <v>3</v>
      </c>
      <c r="CL40" s="371">
        <v>1</v>
      </c>
      <c r="CM40" s="370">
        <v>2</v>
      </c>
      <c r="CN40" s="494">
        <f>'FPS Pivot Table'!D50</f>
        <v>47.02</v>
      </c>
      <c r="CO40" s="158"/>
      <c r="CP40" s="313" t="str">
        <f t="shared" si="14"/>
        <v>231</v>
      </c>
      <c r="CQ40" s="356">
        <v>43282</v>
      </c>
      <c r="CR40" s="356">
        <v>43282</v>
      </c>
      <c r="CS40" s="370" t="s">
        <v>15</v>
      </c>
      <c r="CT40" s="370"/>
      <c r="CU40" s="371">
        <v>3</v>
      </c>
      <c r="CV40" s="371">
        <v>1</v>
      </c>
      <c r="CW40" s="370">
        <v>2</v>
      </c>
      <c r="CX40" s="494">
        <f>'FPS Pivot Table'!E50</f>
        <v>48.9</v>
      </c>
      <c r="CY40" s="661">
        <f t="shared" si="15"/>
        <v>50.86</v>
      </c>
      <c r="CZ40" s="158"/>
      <c r="DA40" s="313" t="str">
        <f t="shared" si="9"/>
        <v>231</v>
      </c>
      <c r="DB40" s="356">
        <v>43282</v>
      </c>
      <c r="DC40" s="356">
        <v>43282</v>
      </c>
      <c r="DD40" s="371" t="s">
        <v>375</v>
      </c>
      <c r="DE40" s="371"/>
      <c r="DF40" s="371">
        <v>3</v>
      </c>
      <c r="DG40" s="371">
        <v>1</v>
      </c>
      <c r="DH40" s="371">
        <v>2</v>
      </c>
      <c r="DI40" s="494">
        <f>'FPS Pivot Table'!F50</f>
        <v>89.27</v>
      </c>
      <c r="DJ40" s="244"/>
      <c r="DK40" s="313" t="str">
        <f t="shared" si="40"/>
        <v>231</v>
      </c>
      <c r="DL40" s="356">
        <v>43282</v>
      </c>
      <c r="DM40" s="356">
        <v>43282</v>
      </c>
      <c r="DN40" s="371" t="s">
        <v>375</v>
      </c>
      <c r="DO40" s="371"/>
      <c r="DP40" s="371">
        <v>3</v>
      </c>
      <c r="DQ40" s="371">
        <v>1</v>
      </c>
      <c r="DR40" s="371">
        <v>2</v>
      </c>
      <c r="DS40" s="494">
        <f>'FPS Pivot Table'!G50</f>
        <v>92.84</v>
      </c>
      <c r="DT40" s="661">
        <f t="shared" si="16"/>
        <v>96.55</v>
      </c>
      <c r="DU40" s="244"/>
      <c r="DV40" s="244"/>
      <c r="DW40" s="244"/>
      <c r="DX40" s="244"/>
      <c r="DY40" s="244"/>
      <c r="DZ40" s="228" t="str">
        <f t="shared" si="11"/>
        <v>Queen Anne'sSupported Employment</v>
      </c>
      <c r="EA40" s="516" t="s">
        <v>164</v>
      </c>
      <c r="EB40" s="463" t="s">
        <v>152</v>
      </c>
      <c r="EC40" s="229">
        <v>22.11</v>
      </c>
      <c r="ED40" s="462">
        <v>27.03</v>
      </c>
      <c r="EE40" s="536">
        <f>'FY24_PCI2_Rates.locked v3'!$Q$15</f>
        <v>30.36</v>
      </c>
      <c r="EF40" s="661">
        <f t="shared" si="17"/>
        <v>31.57</v>
      </c>
      <c r="EG40" s="536"/>
      <c r="EH40" s="228" t="str">
        <f t="shared" si="12"/>
        <v>Queen Anne'sResidential</v>
      </c>
      <c r="EI40" s="228" t="s">
        <v>164</v>
      </c>
      <c r="EJ40" s="168" t="s">
        <v>376</v>
      </c>
      <c r="EK40" s="229">
        <v>19.78</v>
      </c>
      <c r="EL40" s="466">
        <v>24.18</v>
      </c>
      <c r="EM40" s="539">
        <f>'FY24_PCI2_Rates.locked v3'!$Q$22</f>
        <v>27.15</v>
      </c>
      <c r="EN40" s="661">
        <f t="shared" si="18"/>
        <v>28.24</v>
      </c>
      <c r="EO40" s="244"/>
      <c r="EP40" s="244"/>
      <c r="EQ40" s="244"/>
      <c r="ER40" s="244"/>
      <c r="ES40" s="244"/>
      <c r="ET40" s="244"/>
      <c r="EU40" s="244"/>
      <c r="EV40" s="244"/>
      <c r="EW40" s="244"/>
      <c r="EX40" s="244"/>
      <c r="EY40" s="244"/>
      <c r="EZ40" s="244" t="s">
        <v>487</v>
      </c>
      <c r="FA40" s="244" t="s">
        <v>487</v>
      </c>
      <c r="FB40" s="77"/>
      <c r="FC40" s="77"/>
      <c r="FD40" s="77"/>
      <c r="FE40" s="77"/>
      <c r="FF40" s="77"/>
      <c r="FG40" s="77"/>
      <c r="FH40" s="77"/>
      <c r="FI40" s="77"/>
      <c r="FJ40" s="77"/>
      <c r="FK40" s="77"/>
      <c r="FL40" s="77"/>
      <c r="FM40" s="77"/>
      <c r="FN40" s="77"/>
      <c r="FO40" s="77"/>
      <c r="FP40" s="77"/>
      <c r="FQ40" s="77"/>
      <c r="FR40" s="77"/>
      <c r="FS40" s="77"/>
      <c r="FT40" s="77"/>
      <c r="FU40" s="77"/>
      <c r="FV40" s="77"/>
      <c r="FW40" s="77"/>
    </row>
    <row r="41" spans="1:179" ht="15" thickBot="1">
      <c r="A41" s="468">
        <f>IF(B41&lt;&gt;"",SUM($B$19:B41),"")</f>
        <v>15</v>
      </c>
      <c r="B41" s="468">
        <f t="shared" si="33"/>
        <v>1</v>
      </c>
      <c r="D41" s="446" t="s">
        <v>509</v>
      </c>
      <c r="E41" s="428"/>
      <c r="F41" s="133"/>
      <c r="G41" s="134"/>
      <c r="H41" s="194"/>
      <c r="I41" s="451" t="str">
        <f>IF(ISERROR((IF($D41="","",VLOOKUP(CONCATENATE($E$12,$A$12,$D41),'Waiver Rate Table'!$B$8:$S$219,6,FALSE)))),"Unavailable",(IF($D41="","",VLOOKUP(CONCATENATE($E$12,$A$12,$D41),'Waiver Rate Table'!$B$8:$S$219,6,FALSE))))</f>
        <v>Unavailable</v>
      </c>
      <c r="J41" s="127" t="str">
        <f>IF(ISERROR((IF(I41="Unavailable","",VLOOKUP(CONCATENATE($E$12,$A$12,$D41),'Waiver Rate Table'!$B$8:$S$219,7,FALSE)))),"",(IF(I41="Unavailable","",VLOOKUP(CONCATENATE($E$12,$A$12,$D41),'Waiver Rate Table'!$B$8:$S$219,7,FALSE))))</f>
        <v/>
      </c>
      <c r="K41" s="104" t="str">
        <f>IF(ISERROR(IF(OR($I41="Unavailable",$K$32=""),"",IF(OR($J41="Upper Pay Limit",$J41="N/A"),"N/A",VLOOKUP(CONCATENATE($E$12,$A$12,$D41),'Waiver Rate Table'!$B$8:$S$219,16,FALSE)))),"",IF(OR($I41="Unavailable",$K$32=""),"",IF(OR($J41="Upper Pay Limit",$J41="N/A"),"N/A",VLOOKUP(CONCATENATE($E$12,$A$12,$D41),'Waiver Rate Table'!$B$8:$S$219,16,FALSE))))</f>
        <v/>
      </c>
      <c r="L41" s="204"/>
      <c r="M41" s="6" t="str">
        <f t="shared" si="34"/>
        <v/>
      </c>
      <c r="N41" s="28"/>
      <c r="O41" s="104" t="str">
        <f>IF(ISERROR(IF(OR($I41="Unavailable",$O$32=""),"",(IF(OR($J41="Upper Pay Limit",$J41="N/A"),"N/A",VLOOKUP(CONCATENATE($E$12,$A$12,$D41),'Waiver Rate Table'!$B$8:$S$219,17,FALSE))))),"",IF(OR($I41="Unavailable",$O$32=""),"",(IF(OR($J41="Upper Pay Limit",$J41="N/A"),"N/A",VLOOKUP(CONCATENATE($E$12,$A$12,$D41),'Waiver Rate Table'!$B$8:$S$219,17,FALSE)))))</f>
        <v/>
      </c>
      <c r="P41" s="204"/>
      <c r="Q41" s="6" t="str">
        <f t="shared" si="35"/>
        <v/>
      </c>
      <c r="R41" s="28"/>
      <c r="S41" s="610"/>
      <c r="T41" s="610"/>
      <c r="U41" s="610"/>
      <c r="V41" s="610"/>
      <c r="W41" s="610"/>
      <c r="X41" s="610"/>
      <c r="Y41" s="610"/>
      <c r="Z41" s="610"/>
      <c r="AA41" s="610"/>
      <c r="AB41" s="610"/>
      <c r="AC41" s="610"/>
      <c r="AD41" s="610"/>
      <c r="AE41" s="468" t="str">
        <f t="shared" si="36"/>
        <v/>
      </c>
      <c r="AF41" s="468" t="str">
        <f>IF(ISERROR((IF(SUM(N41+R41)&gt;VLOOKUP(CONCATENATE($E$12,$A$12,$D41),'Waiver Rate Table'!$B$8:$S$182,11,FALSE),"x",""))),"",(IF(SUM(N41+R41)&gt;VLOOKUP(CONCATENATE($E$12,$A$12,$D41),'Waiver Rate Table'!$B$8:$S$182,11,FALSE),"x","")))</f>
        <v/>
      </c>
      <c r="AG41" s="32"/>
      <c r="AP41" s="319"/>
      <c r="AQ41" s="319" t="s">
        <v>196</v>
      </c>
      <c r="AR41" s="541">
        <f>SUM(AR29:AR40)</f>
        <v>365</v>
      </c>
      <c r="AS41" s="244"/>
      <c r="AT41" s="244"/>
      <c r="AU41" s="244"/>
      <c r="AV41" s="244"/>
      <c r="AW41" s="244"/>
      <c r="AX41" s="316">
        <v>36</v>
      </c>
      <c r="AY41" s="225" t="s">
        <v>3</v>
      </c>
      <c r="AZ41" s="244"/>
      <c r="BA41" s="244"/>
      <c r="BB41" s="317" t="str">
        <f t="shared" si="39"/>
        <v>50</v>
      </c>
      <c r="BC41" s="226" t="s">
        <v>13</v>
      </c>
      <c r="BD41" s="226" t="s">
        <v>14</v>
      </c>
      <c r="BE41" s="226" t="s">
        <v>26</v>
      </c>
      <c r="BF41" s="226" t="s">
        <v>27</v>
      </c>
      <c r="BG41" s="155">
        <v>0</v>
      </c>
      <c r="BH41" s="155">
        <v>0</v>
      </c>
      <c r="BI41" s="155">
        <v>0</v>
      </c>
      <c r="BJ41" s="227" t="s">
        <v>20</v>
      </c>
      <c r="BK41" s="226"/>
      <c r="BL41" s="317" t="str">
        <f t="shared" si="7"/>
        <v>583-168</v>
      </c>
      <c r="BM41" s="356">
        <v>43282</v>
      </c>
      <c r="BN41" s="356">
        <v>43282</v>
      </c>
      <c r="BO41" s="360" t="s">
        <v>26</v>
      </c>
      <c r="BP41" s="358" t="s">
        <v>4</v>
      </c>
      <c r="BQ41" s="400">
        <v>20.7</v>
      </c>
      <c r="BR41" s="400">
        <v>20.7</v>
      </c>
      <c r="BS41" s="400">
        <v>20.7</v>
      </c>
      <c r="BT41" s="359">
        <v>5</v>
      </c>
      <c r="BU41" s="42"/>
      <c r="BV41" s="317" t="str">
        <f t="shared" si="8"/>
        <v>583-168</v>
      </c>
      <c r="BW41" s="356">
        <v>43282</v>
      </c>
      <c r="BX41" s="356">
        <v>43282</v>
      </c>
      <c r="BY41" s="360" t="s">
        <v>26</v>
      </c>
      <c r="BZ41" s="358" t="s">
        <v>4</v>
      </c>
      <c r="CA41" s="448">
        <v>22.39</v>
      </c>
      <c r="CB41" s="448">
        <v>22.39</v>
      </c>
      <c r="CC41" s="448">
        <v>22.39</v>
      </c>
      <c r="CD41" s="359">
        <v>5</v>
      </c>
      <c r="CE41" s="226"/>
      <c r="CF41" s="313" t="str">
        <f t="shared" si="13"/>
        <v>232</v>
      </c>
      <c r="CG41" s="356">
        <v>43282</v>
      </c>
      <c r="CH41" s="356">
        <v>43282</v>
      </c>
      <c r="CI41" s="370" t="s">
        <v>15</v>
      </c>
      <c r="CJ41" s="370"/>
      <c r="CK41" s="371">
        <v>3</v>
      </c>
      <c r="CL41" s="371">
        <v>2</v>
      </c>
      <c r="CM41" s="370">
        <v>2</v>
      </c>
      <c r="CN41" s="494">
        <f>'FPS Pivot Table'!D51</f>
        <v>50.15</v>
      </c>
      <c r="CO41" s="158"/>
      <c r="CP41" s="313" t="str">
        <f t="shared" si="14"/>
        <v>232</v>
      </c>
      <c r="CQ41" s="356">
        <v>43282</v>
      </c>
      <c r="CR41" s="356">
        <v>43282</v>
      </c>
      <c r="CS41" s="370" t="s">
        <v>15</v>
      </c>
      <c r="CT41" s="370"/>
      <c r="CU41" s="371">
        <v>3</v>
      </c>
      <c r="CV41" s="371">
        <v>2</v>
      </c>
      <c r="CW41" s="370">
        <v>2</v>
      </c>
      <c r="CX41" s="494">
        <f>'FPS Pivot Table'!E51</f>
        <v>52.15</v>
      </c>
      <c r="CY41" s="661">
        <f t="shared" si="15"/>
        <v>54.24</v>
      </c>
      <c r="CZ41" s="158"/>
      <c r="DA41" s="313" t="str">
        <f t="shared" si="9"/>
        <v>232</v>
      </c>
      <c r="DB41" s="356">
        <v>43282</v>
      </c>
      <c r="DC41" s="356">
        <v>43282</v>
      </c>
      <c r="DD41" s="371" t="s">
        <v>375</v>
      </c>
      <c r="DE41" s="371"/>
      <c r="DF41" s="371">
        <v>3</v>
      </c>
      <c r="DG41" s="371">
        <v>2</v>
      </c>
      <c r="DH41" s="371">
        <v>2</v>
      </c>
      <c r="DI41" s="494">
        <f>'FPS Pivot Table'!F51</f>
        <v>92.04</v>
      </c>
      <c r="DJ41" s="244"/>
      <c r="DK41" s="313" t="str">
        <f t="shared" si="40"/>
        <v>232</v>
      </c>
      <c r="DL41" s="356">
        <v>43282</v>
      </c>
      <c r="DM41" s="356">
        <v>43282</v>
      </c>
      <c r="DN41" s="371" t="s">
        <v>375</v>
      </c>
      <c r="DO41" s="371"/>
      <c r="DP41" s="371">
        <v>3</v>
      </c>
      <c r="DQ41" s="371">
        <v>2</v>
      </c>
      <c r="DR41" s="371">
        <v>2</v>
      </c>
      <c r="DS41" s="494">
        <f>'FPS Pivot Table'!G51</f>
        <v>95.72</v>
      </c>
      <c r="DT41" s="661">
        <f t="shared" si="16"/>
        <v>99.55</v>
      </c>
      <c r="DU41" s="244"/>
      <c r="DV41" s="244"/>
      <c r="DW41" s="244"/>
      <c r="DX41" s="244"/>
      <c r="DY41" s="244"/>
      <c r="DZ41" s="228" t="str">
        <f t="shared" si="11"/>
        <v>SomersetDay</v>
      </c>
      <c r="EA41" s="518" t="s">
        <v>175</v>
      </c>
      <c r="EB41" s="463" t="s">
        <v>134</v>
      </c>
      <c r="EC41" s="229">
        <v>22.11</v>
      </c>
      <c r="ED41" s="462">
        <v>27.03</v>
      </c>
      <c r="EE41" s="536">
        <f>'FY24_PCI2_Rates.locked v3'!$Q$17</f>
        <v>30.36</v>
      </c>
      <c r="EF41" s="661">
        <f t="shared" si="17"/>
        <v>31.57</v>
      </c>
      <c r="EG41" s="536"/>
      <c r="EH41" s="228" t="str">
        <f t="shared" si="12"/>
        <v>SomersetResidential</v>
      </c>
      <c r="EI41" s="228" t="s">
        <v>175</v>
      </c>
      <c r="EJ41" s="168" t="s">
        <v>376</v>
      </c>
      <c r="EK41" s="229">
        <v>19.78</v>
      </c>
      <c r="EL41" s="466">
        <v>24.18</v>
      </c>
      <c r="EM41" s="539">
        <f>'FY24_PCI2_Rates.locked v3'!$Q$24</f>
        <v>27.15</v>
      </c>
      <c r="EN41" s="661">
        <f t="shared" si="18"/>
        <v>28.24</v>
      </c>
      <c r="EO41" s="244"/>
      <c r="EP41" s="244"/>
      <c r="EQ41" s="244"/>
      <c r="ER41" s="244"/>
      <c r="ES41" s="244"/>
      <c r="ET41" s="244"/>
      <c r="EU41" s="244"/>
      <c r="EV41" s="244"/>
      <c r="EW41" s="244"/>
      <c r="EX41" s="244"/>
      <c r="EY41" s="244"/>
      <c r="EZ41" s="244"/>
      <c r="FA41" s="244"/>
      <c r="FB41" s="77"/>
      <c r="FC41" s="77"/>
      <c r="FD41" s="77"/>
      <c r="FE41" s="77"/>
      <c r="FF41" s="77"/>
      <c r="FG41" s="77"/>
      <c r="FH41" s="77"/>
      <c r="FI41" s="77"/>
      <c r="FJ41" s="77"/>
      <c r="FK41" s="77"/>
      <c r="FL41" s="77"/>
      <c r="FM41" s="77"/>
      <c r="FN41" s="77"/>
      <c r="FO41" s="77"/>
      <c r="FP41" s="77"/>
      <c r="FQ41" s="77"/>
      <c r="FR41" s="77"/>
      <c r="FS41" s="77"/>
      <c r="FT41" s="77"/>
      <c r="FU41" s="77"/>
      <c r="FV41" s="77"/>
      <c r="FW41" s="77"/>
    </row>
    <row r="42" spans="1:179" ht="15" thickBot="1">
      <c r="A42" s="468">
        <f>IF(B42&lt;&gt;"",SUM($B$19:B42),"")</f>
        <v>16</v>
      </c>
      <c r="B42" s="468">
        <f t="shared" si="33"/>
        <v>1</v>
      </c>
      <c r="D42" s="446" t="s">
        <v>407</v>
      </c>
      <c r="E42" s="428"/>
      <c r="F42" s="133"/>
      <c r="G42" s="134"/>
      <c r="H42" s="194"/>
      <c r="I42" s="451" t="str">
        <f>IF(ISERROR((IF($D42="","",VLOOKUP(CONCATENATE($E$12,$A$12,$D42),'Waiver Rate Table'!$B$8:$S$219,6,FALSE)))),"Unavailable",(IF($D42="","",VLOOKUP(CONCATENATE($E$12,$A$12,$D42),'Waiver Rate Table'!$B$8:$S$219,6,FALSE))))</f>
        <v>Unavailable</v>
      </c>
      <c r="J42" s="127" t="str">
        <f>IF(ISERROR((IF(I42="Unavailable","",VLOOKUP(CONCATENATE($E$12,$A$12,$D42),'Waiver Rate Table'!$B$8:$S$219,7,FALSE)))),"",(IF(I42="Unavailable","",VLOOKUP(CONCATENATE($E$12,$A$12,$D42),'Waiver Rate Table'!$B$8:$S$219,7,FALSE))))</f>
        <v/>
      </c>
      <c r="K42" s="104" t="str">
        <f>IF(ISERROR(IF(OR($I42="Unavailable",$K$32=""),"",IF(OR($J42="Upper Pay Limit",$J42="N/A"),"N/A",VLOOKUP(CONCATENATE($E$12,$A$12,$D42),'Waiver Rate Table'!$B$8:$S$219,16,FALSE)))),"",IF(OR($I42="Unavailable",$K$32=""),"",IF(OR($J42="Upper Pay Limit",$J42="N/A"),"N/A",VLOOKUP(CONCATENATE($E$12,$A$12,$D42),'Waiver Rate Table'!$B$8:$S$219,16,FALSE))))</f>
        <v/>
      </c>
      <c r="L42" s="204"/>
      <c r="M42" s="6" t="str">
        <f t="shared" si="34"/>
        <v/>
      </c>
      <c r="N42" s="28"/>
      <c r="O42" s="104" t="str">
        <f>IF(ISERROR(IF(OR($I42="Unavailable",$O$32=""),"",(IF(OR($J42="Upper Pay Limit",$J42="N/A"),"N/A",VLOOKUP(CONCATENATE($E$12,$A$12,$D42),'Waiver Rate Table'!$B$8:$S$219,17,FALSE))))),"",IF(OR($I42="Unavailable",$O$32=""),"",(IF(OR($J42="Upper Pay Limit",$J42="N/A"),"N/A",VLOOKUP(CONCATENATE($E$12,$A$12,$D42),'Waiver Rate Table'!$B$8:$S$219,17,FALSE)))))</f>
        <v/>
      </c>
      <c r="P42" s="204"/>
      <c r="Q42" s="6" t="str">
        <f t="shared" si="35"/>
        <v/>
      </c>
      <c r="R42" s="28"/>
      <c r="S42" s="610"/>
      <c r="T42" s="610"/>
      <c r="U42" s="610"/>
      <c r="V42" s="610"/>
      <c r="W42" s="610"/>
      <c r="X42" s="610"/>
      <c r="Y42" s="610"/>
      <c r="Z42" s="610"/>
      <c r="AA42" s="610"/>
      <c r="AB42" s="610"/>
      <c r="AC42" s="610"/>
      <c r="AD42" s="610"/>
      <c r="AE42" s="468" t="str">
        <f t="shared" si="36"/>
        <v/>
      </c>
      <c r="AF42" s="468" t="str">
        <f>IF(ISERROR((IF(SUM(N42+R42)&gt;VLOOKUP(CONCATENATE($E$12,$A$12,$D42),'Waiver Rate Table'!$B$8:$S$182,11,FALSE),"x",""))),"",(IF(SUM(N42+R42)&gt;VLOOKUP(CONCATENATE($E$12,$A$12,$D42),'Waiver Rate Table'!$B$8:$S$182,11,FALSE),"x","")))</f>
        <v/>
      </c>
      <c r="AG42" s="32"/>
      <c r="AP42" s="244"/>
      <c r="AQ42" s="244"/>
      <c r="AR42" s="244"/>
      <c r="AS42" s="244"/>
      <c r="AT42" s="553"/>
      <c r="AU42" s="553"/>
      <c r="AV42" s="553"/>
      <c r="AW42" s="244"/>
      <c r="AX42" s="316">
        <v>37</v>
      </c>
      <c r="AY42" s="225" t="s">
        <v>3</v>
      </c>
      <c r="AZ42" s="244"/>
      <c r="BA42" s="244"/>
      <c r="BB42" s="317" t="str">
        <f t="shared" si="39"/>
        <v>51-19</v>
      </c>
      <c r="BC42" s="226" t="s">
        <v>13</v>
      </c>
      <c r="BD42" s="226" t="s">
        <v>14</v>
      </c>
      <c r="BE42" s="226" t="s">
        <v>26</v>
      </c>
      <c r="BF42" s="226" t="s">
        <v>0</v>
      </c>
      <c r="BG42" s="155">
        <v>31.05</v>
      </c>
      <c r="BH42" s="155">
        <v>28.89</v>
      </c>
      <c r="BI42" s="155">
        <v>23.15</v>
      </c>
      <c r="BJ42" s="227" t="s">
        <v>20</v>
      </c>
      <c r="BK42" s="226"/>
      <c r="BL42" s="317" t="str">
        <f t="shared" si="7"/>
        <v>528-82</v>
      </c>
      <c r="BM42" s="356">
        <v>43282</v>
      </c>
      <c r="BN42" s="356">
        <v>43282</v>
      </c>
      <c r="BO42" s="360" t="s">
        <v>26</v>
      </c>
      <c r="BP42" s="358" t="s">
        <v>3</v>
      </c>
      <c r="BQ42" s="400">
        <v>27.55</v>
      </c>
      <c r="BR42" s="400">
        <v>25.82</v>
      </c>
      <c r="BS42" s="400">
        <v>20.7</v>
      </c>
      <c r="BT42" s="359">
        <v>5</v>
      </c>
      <c r="BU42" s="42"/>
      <c r="BV42" s="317" t="str">
        <f t="shared" si="8"/>
        <v>528-82</v>
      </c>
      <c r="BW42" s="356">
        <v>43282</v>
      </c>
      <c r="BX42" s="356">
        <v>43282</v>
      </c>
      <c r="BY42" s="360" t="s">
        <v>26</v>
      </c>
      <c r="BZ42" s="358" t="s">
        <v>3</v>
      </c>
      <c r="CA42" s="448">
        <v>29.8</v>
      </c>
      <c r="CB42" s="448">
        <v>27.94</v>
      </c>
      <c r="CC42" s="448">
        <v>22.39</v>
      </c>
      <c r="CD42" s="359">
        <v>5</v>
      </c>
      <c r="CE42" s="226"/>
      <c r="CF42" s="313" t="str">
        <f t="shared" si="13"/>
        <v>233</v>
      </c>
      <c r="CG42" s="356">
        <v>43282</v>
      </c>
      <c r="CH42" s="356">
        <v>43282</v>
      </c>
      <c r="CI42" s="370" t="s">
        <v>15</v>
      </c>
      <c r="CJ42" s="370"/>
      <c r="CK42" s="371">
        <v>3</v>
      </c>
      <c r="CL42" s="371">
        <v>3</v>
      </c>
      <c r="CM42" s="370">
        <v>2</v>
      </c>
      <c r="CN42" s="494">
        <f>'FPS Pivot Table'!D52</f>
        <v>55.19</v>
      </c>
      <c r="CO42" s="158"/>
      <c r="CP42" s="313" t="str">
        <f t="shared" si="14"/>
        <v>233</v>
      </c>
      <c r="CQ42" s="356">
        <v>43282</v>
      </c>
      <c r="CR42" s="356">
        <v>43282</v>
      </c>
      <c r="CS42" s="370" t="s">
        <v>15</v>
      </c>
      <c r="CT42" s="370"/>
      <c r="CU42" s="371">
        <v>3</v>
      </c>
      <c r="CV42" s="371">
        <v>3</v>
      </c>
      <c r="CW42" s="370">
        <v>2</v>
      </c>
      <c r="CX42" s="494">
        <f>'FPS Pivot Table'!E52</f>
        <v>57.4</v>
      </c>
      <c r="CY42" s="661">
        <f t="shared" si="15"/>
        <v>59.7</v>
      </c>
      <c r="CZ42" s="158"/>
      <c r="DA42" s="313" t="str">
        <f t="shared" si="9"/>
        <v>233</v>
      </c>
      <c r="DB42" s="356">
        <v>43282</v>
      </c>
      <c r="DC42" s="356">
        <v>43282</v>
      </c>
      <c r="DD42" s="371" t="s">
        <v>375</v>
      </c>
      <c r="DE42" s="371"/>
      <c r="DF42" s="371">
        <v>3</v>
      </c>
      <c r="DG42" s="371">
        <v>3</v>
      </c>
      <c r="DH42" s="371">
        <v>2</v>
      </c>
      <c r="DI42" s="494">
        <f>'FPS Pivot Table'!F52</f>
        <v>96.41</v>
      </c>
      <c r="DJ42" s="244"/>
      <c r="DK42" s="313" t="str">
        <f t="shared" si="40"/>
        <v>233</v>
      </c>
      <c r="DL42" s="356">
        <v>43282</v>
      </c>
      <c r="DM42" s="356">
        <v>43282</v>
      </c>
      <c r="DN42" s="371" t="s">
        <v>375</v>
      </c>
      <c r="DO42" s="371"/>
      <c r="DP42" s="371">
        <v>3</v>
      </c>
      <c r="DQ42" s="371">
        <v>3</v>
      </c>
      <c r="DR42" s="371">
        <v>2</v>
      </c>
      <c r="DS42" s="494">
        <f>'FPS Pivot Table'!G52</f>
        <v>100.26</v>
      </c>
      <c r="DT42" s="661">
        <f t="shared" si="16"/>
        <v>104.27</v>
      </c>
      <c r="DU42" s="244"/>
      <c r="DV42" s="244"/>
      <c r="DW42" s="244"/>
      <c r="DX42" s="244"/>
      <c r="DY42" s="244"/>
      <c r="DZ42" s="228" t="str">
        <f t="shared" si="11"/>
        <v>SomersetSupported Employment</v>
      </c>
      <c r="EA42" s="518" t="s">
        <v>175</v>
      </c>
      <c r="EB42" s="463" t="s">
        <v>152</v>
      </c>
      <c r="EC42" s="229">
        <v>22.11</v>
      </c>
      <c r="ED42" s="462">
        <v>27.03</v>
      </c>
      <c r="EE42" s="536">
        <f>'FY24_PCI2_Rates.locked v3'!$Q$17</f>
        <v>30.36</v>
      </c>
      <c r="EF42" s="661">
        <f t="shared" si="17"/>
        <v>31.57</v>
      </c>
      <c r="EG42" s="536"/>
      <c r="EH42" s="228" t="str">
        <f t="shared" si="12"/>
        <v>SomersetResidential</v>
      </c>
      <c r="EI42" s="228" t="s">
        <v>175</v>
      </c>
      <c r="EJ42" s="168" t="s">
        <v>376</v>
      </c>
      <c r="EK42" s="229">
        <v>19.78</v>
      </c>
      <c r="EL42" s="466">
        <v>24.18</v>
      </c>
      <c r="EM42" s="539">
        <f>'FY24_PCI2_Rates.locked v3'!$Q$24</f>
        <v>27.15</v>
      </c>
      <c r="EN42" s="661">
        <f t="shared" si="18"/>
        <v>28.24</v>
      </c>
      <c r="EO42" s="244"/>
      <c r="EP42" s="244"/>
      <c r="EQ42" s="244"/>
      <c r="ER42" s="244"/>
      <c r="ES42" s="244"/>
      <c r="ET42" s="244"/>
      <c r="EU42" s="244"/>
      <c r="EV42" s="244"/>
      <c r="EW42" s="244"/>
      <c r="EX42" s="244"/>
      <c r="EY42" s="244"/>
      <c r="EZ42" s="244"/>
      <c r="FA42" s="244"/>
      <c r="FB42" s="77"/>
      <c r="FC42" s="77"/>
      <c r="FD42" s="77"/>
      <c r="FE42" s="77"/>
      <c r="FF42" s="77"/>
      <c r="FG42" s="77"/>
      <c r="FH42" s="77"/>
      <c r="FI42" s="77"/>
      <c r="FJ42" s="77"/>
      <c r="FK42" s="77"/>
      <c r="FL42" s="77"/>
      <c r="FM42" s="77"/>
      <c r="FN42" s="77"/>
      <c r="FO42" s="77"/>
      <c r="FP42" s="77"/>
      <c r="FQ42" s="77"/>
      <c r="FR42" s="77"/>
      <c r="FS42" s="77"/>
      <c r="FT42" s="77"/>
      <c r="FU42" s="77"/>
      <c r="FV42" s="77"/>
      <c r="FW42" s="77"/>
    </row>
    <row r="43" spans="1:179" ht="15" thickBot="1">
      <c r="A43" s="468">
        <f>IF(B43&lt;&gt;"",SUM($B$19:B43),"")</f>
        <v>17</v>
      </c>
      <c r="B43" s="468">
        <f t="shared" si="33"/>
        <v>1</v>
      </c>
      <c r="D43" s="446" t="s">
        <v>106</v>
      </c>
      <c r="E43" s="428"/>
      <c r="F43" s="133"/>
      <c r="G43" s="134"/>
      <c r="H43" s="194"/>
      <c r="I43" s="451" t="str">
        <f>IF(ISERROR((IF($D43="","",VLOOKUP(CONCATENATE($E$12,$A$12,$D43),'Waiver Rate Table'!$B$8:$S$219,6,FALSE)))),"Unavailable",(IF($D43="","",VLOOKUP(CONCATENATE($E$12,$A$12,$D43),'Waiver Rate Table'!$B$8:$S$219,6,FALSE))))</f>
        <v>Unavailable</v>
      </c>
      <c r="J43" s="127" t="str">
        <f>IF(ISERROR((IF(I43="Unavailable","",VLOOKUP(CONCATENATE($E$12,$A$12,$D43),'Waiver Rate Table'!$B$8:$S$219,7,FALSE)))),"",(IF(I43="Unavailable","",VLOOKUP(CONCATENATE($E$12,$A$12,$D43),'Waiver Rate Table'!$B$8:$S$219,7,FALSE))))</f>
        <v/>
      </c>
      <c r="K43" s="104" t="str">
        <f>IF(ISERROR(IF(OR($I43="Unavailable",$K$32=""),"",IF(OR($J43="Upper Pay Limit",$J43="N/A"),"N/A",VLOOKUP(CONCATENATE($E$12,$A$12,$D43),'Waiver Rate Table'!$B$8:$S$219,16,FALSE)))),"",IF(OR($I43="Unavailable",$K$32=""),"",IF(OR($J43="Upper Pay Limit",$J43="N/A"),"N/A",VLOOKUP(CONCATENATE($E$12,$A$12,$D43),'Waiver Rate Table'!$B$8:$S$219,16,FALSE))))</f>
        <v/>
      </c>
      <c r="L43" s="204"/>
      <c r="M43" s="6" t="str">
        <f t="shared" si="34"/>
        <v/>
      </c>
      <c r="N43" s="28"/>
      <c r="O43" s="104" t="str">
        <f>IF(ISERROR(IF(OR($I43="Unavailable",$O$32=""),"",(IF(OR($J43="Upper Pay Limit",$J43="N/A"),"N/A",VLOOKUP(CONCATENATE($E$12,$A$12,$D43),'Waiver Rate Table'!$B$8:$S$219,17,FALSE))))),"",IF(OR($I43="Unavailable",$O$32=""),"",(IF(OR($J43="Upper Pay Limit",$J43="N/A"),"N/A",VLOOKUP(CONCATENATE($E$12,$A$12,$D43),'Waiver Rate Table'!$B$8:$S$219,17,FALSE)))))</f>
        <v/>
      </c>
      <c r="P43" s="204"/>
      <c r="Q43" s="6" t="str">
        <f t="shared" si="35"/>
        <v/>
      </c>
      <c r="R43" s="28"/>
      <c r="S43" s="610"/>
      <c r="T43" s="610"/>
      <c r="U43" s="610"/>
      <c r="V43" s="610"/>
      <c r="W43" s="610"/>
      <c r="X43" s="610"/>
      <c r="Y43" s="610"/>
      <c r="Z43" s="610"/>
      <c r="AA43" s="610"/>
      <c r="AB43" s="610"/>
      <c r="AC43" s="610"/>
      <c r="AD43" s="610"/>
      <c r="AE43" s="468" t="str">
        <f t="shared" si="36"/>
        <v/>
      </c>
      <c r="AF43" s="468" t="str">
        <f>IF(ISERROR((IF(SUM(N43+R43)&gt;VLOOKUP(CONCATENATE($E$12,$A$12,$D43),'Waiver Rate Table'!$B$8:$S$182,11,FALSE),"x",""))),"",(IF(SUM(N43+R43)&gt;VLOOKUP(CONCATENATE($E$12,$A$12,$D43),'Waiver Rate Table'!$B$8:$S$182,11,FALSE),"x","")))</f>
        <v/>
      </c>
      <c r="AG43" s="32"/>
      <c r="AP43" s="569">
        <v>1</v>
      </c>
      <c r="AQ43" s="329" t="s">
        <v>184</v>
      </c>
      <c r="AR43" s="569">
        <v>1</v>
      </c>
      <c r="AS43" s="244"/>
      <c r="AT43" s="574">
        <v>1</v>
      </c>
      <c r="AU43" s="554" t="s">
        <v>439</v>
      </c>
      <c r="AV43" s="578">
        <v>1</v>
      </c>
      <c r="AW43" s="244"/>
      <c r="AX43" s="316">
        <v>38</v>
      </c>
      <c r="AY43" s="225" t="s">
        <v>3</v>
      </c>
      <c r="AZ43" s="244"/>
      <c r="BA43" s="244"/>
      <c r="BB43" s="317" t="str">
        <f t="shared" si="39"/>
        <v>520-22</v>
      </c>
      <c r="BC43" s="226" t="s">
        <v>13</v>
      </c>
      <c r="BD43" s="226" t="s">
        <v>14</v>
      </c>
      <c r="BE43" s="226" t="s">
        <v>26</v>
      </c>
      <c r="BF43" s="226" t="s">
        <v>1</v>
      </c>
      <c r="BG43" s="155">
        <v>29.69</v>
      </c>
      <c r="BH43" s="155">
        <v>27.84</v>
      </c>
      <c r="BI43" s="155">
        <v>22.3</v>
      </c>
      <c r="BJ43" s="227" t="s">
        <v>20</v>
      </c>
      <c r="BK43" s="226"/>
      <c r="BL43" s="317" t="str">
        <f t="shared" si="7"/>
        <v>527</v>
      </c>
      <c r="BM43" s="356">
        <v>43282</v>
      </c>
      <c r="BN43" s="356">
        <v>43282</v>
      </c>
      <c r="BO43" s="360" t="s">
        <v>26</v>
      </c>
      <c r="BP43" s="358" t="s">
        <v>30</v>
      </c>
      <c r="BQ43" s="400">
        <v>27.96</v>
      </c>
      <c r="BR43" s="400">
        <v>26.21</v>
      </c>
      <c r="BS43" s="400">
        <v>20.99</v>
      </c>
      <c r="BT43" s="359">
        <v>5</v>
      </c>
      <c r="BU43" s="42"/>
      <c r="BV43" s="317" t="str">
        <f t="shared" si="8"/>
        <v>527</v>
      </c>
      <c r="BW43" s="356">
        <v>43282</v>
      </c>
      <c r="BX43" s="356">
        <v>43282</v>
      </c>
      <c r="BY43" s="360" t="s">
        <v>26</v>
      </c>
      <c r="BZ43" s="358" t="s">
        <v>30</v>
      </c>
      <c r="CA43" s="448">
        <v>30.23</v>
      </c>
      <c r="CB43" s="448">
        <v>28.34</v>
      </c>
      <c r="CC43" s="448">
        <v>22.7</v>
      </c>
      <c r="CD43" s="359">
        <v>5</v>
      </c>
      <c r="CE43" s="226"/>
      <c r="CF43" s="313" t="str">
        <f t="shared" si="13"/>
        <v>234</v>
      </c>
      <c r="CG43" s="356">
        <v>43282</v>
      </c>
      <c r="CH43" s="356">
        <v>43282</v>
      </c>
      <c r="CI43" s="370" t="s">
        <v>15</v>
      </c>
      <c r="CJ43" s="370"/>
      <c r="CK43" s="371">
        <v>3</v>
      </c>
      <c r="CL43" s="371">
        <v>4</v>
      </c>
      <c r="CM43" s="370">
        <v>2</v>
      </c>
      <c r="CN43" s="494">
        <f>'FPS Pivot Table'!D53</f>
        <v>61.95</v>
      </c>
      <c r="CO43" s="158"/>
      <c r="CP43" s="313" t="str">
        <f t="shared" si="14"/>
        <v>234</v>
      </c>
      <c r="CQ43" s="356">
        <v>43282</v>
      </c>
      <c r="CR43" s="356">
        <v>43282</v>
      </c>
      <c r="CS43" s="370" t="s">
        <v>15</v>
      </c>
      <c r="CT43" s="370"/>
      <c r="CU43" s="371">
        <v>3</v>
      </c>
      <c r="CV43" s="371">
        <v>4</v>
      </c>
      <c r="CW43" s="370">
        <v>2</v>
      </c>
      <c r="CX43" s="494">
        <f>'FPS Pivot Table'!E53</f>
        <v>64.430000000000007</v>
      </c>
      <c r="CY43" s="661">
        <f t="shared" si="15"/>
        <v>67.010000000000005</v>
      </c>
      <c r="CZ43" s="158"/>
      <c r="DA43" s="313" t="str">
        <f t="shared" si="9"/>
        <v>234</v>
      </c>
      <c r="DB43" s="356">
        <v>43282</v>
      </c>
      <c r="DC43" s="356">
        <v>43282</v>
      </c>
      <c r="DD43" s="371" t="s">
        <v>375</v>
      </c>
      <c r="DE43" s="371"/>
      <c r="DF43" s="371">
        <v>3</v>
      </c>
      <c r="DG43" s="371">
        <v>4</v>
      </c>
      <c r="DH43" s="371">
        <v>2</v>
      </c>
      <c r="DI43" s="494">
        <f>'FPS Pivot Table'!F53</f>
        <v>102.38</v>
      </c>
      <c r="DJ43" s="244"/>
      <c r="DK43" s="313" t="str">
        <f t="shared" si="40"/>
        <v>234</v>
      </c>
      <c r="DL43" s="356">
        <v>43282</v>
      </c>
      <c r="DM43" s="356">
        <v>43282</v>
      </c>
      <c r="DN43" s="371" t="s">
        <v>375</v>
      </c>
      <c r="DO43" s="371"/>
      <c r="DP43" s="371">
        <v>3</v>
      </c>
      <c r="DQ43" s="371">
        <v>4</v>
      </c>
      <c r="DR43" s="371">
        <v>2</v>
      </c>
      <c r="DS43" s="494">
        <f>'FPS Pivot Table'!G53</f>
        <v>106.48</v>
      </c>
      <c r="DT43" s="661">
        <f t="shared" si="16"/>
        <v>110.74</v>
      </c>
      <c r="DU43" s="244"/>
      <c r="DV43" s="244"/>
      <c r="DW43" s="244"/>
      <c r="DX43" s="244"/>
      <c r="DY43" s="244"/>
      <c r="DZ43" s="228" t="str">
        <f t="shared" si="11"/>
        <v>St. Mary'sDay</v>
      </c>
      <c r="EA43" s="518" t="s">
        <v>170</v>
      </c>
      <c r="EB43" s="463" t="s">
        <v>134</v>
      </c>
      <c r="EC43" s="229">
        <v>22.11</v>
      </c>
      <c r="ED43" s="462">
        <v>27.03</v>
      </c>
      <c r="EE43" s="536">
        <f>'FY24_PCI2_Rates.locked v3'!$Q$17</f>
        <v>30.36</v>
      </c>
      <c r="EF43" s="661">
        <f t="shared" si="17"/>
        <v>31.57</v>
      </c>
      <c r="EG43" s="536"/>
      <c r="EH43" s="228" t="str">
        <f t="shared" si="12"/>
        <v>St. Mary'sResidential</v>
      </c>
      <c r="EI43" s="228" t="s">
        <v>170</v>
      </c>
      <c r="EJ43" s="168" t="s">
        <v>376</v>
      </c>
      <c r="EK43" s="229">
        <v>19.78</v>
      </c>
      <c r="EL43" s="466">
        <v>24.18</v>
      </c>
      <c r="EM43" s="539">
        <f>'FY24_PCI2_Rates.locked v3'!$Q$24</f>
        <v>27.15</v>
      </c>
      <c r="EN43" s="661">
        <f t="shared" si="18"/>
        <v>28.24</v>
      </c>
      <c r="EO43" s="244"/>
      <c r="EP43" s="244"/>
      <c r="EQ43" s="42"/>
      <c r="ER43" s="42"/>
      <c r="ES43" s="244"/>
      <c r="ET43" s="244"/>
      <c r="EU43" s="244"/>
      <c r="EV43" s="244"/>
      <c r="EW43" s="244"/>
      <c r="EX43" s="244"/>
      <c r="EY43" s="244"/>
      <c r="EZ43" s="244"/>
      <c r="FA43" s="244"/>
      <c r="FB43" s="77"/>
      <c r="FC43" s="77"/>
      <c r="FD43" s="77"/>
      <c r="FE43" s="77"/>
      <c r="FF43" s="77"/>
      <c r="FG43" s="77"/>
      <c r="FH43" s="77"/>
      <c r="FI43" s="77"/>
      <c r="FJ43" s="77"/>
      <c r="FK43" s="77"/>
      <c r="FL43" s="77"/>
      <c r="FM43" s="77"/>
      <c r="FN43" s="77"/>
      <c r="FO43" s="77"/>
      <c r="FP43" s="77"/>
      <c r="FQ43" s="77"/>
      <c r="FR43" s="77"/>
      <c r="FS43" s="77"/>
      <c r="FT43" s="77"/>
      <c r="FU43" s="77"/>
      <c r="FV43" s="77"/>
      <c r="FW43" s="77"/>
    </row>
    <row r="44" spans="1:179">
      <c r="A44" s="468">
        <f>IF(B44&lt;&gt;"",SUM($B$19:B44),"")</f>
        <v>18</v>
      </c>
      <c r="B44" s="468">
        <f t="shared" si="33"/>
        <v>1</v>
      </c>
      <c r="D44" s="446" t="s">
        <v>111</v>
      </c>
      <c r="E44" s="428"/>
      <c r="F44" s="133"/>
      <c r="G44" s="134"/>
      <c r="H44" s="194"/>
      <c r="I44" s="451" t="str">
        <f>IF(ISERROR((IF($D44="","",VLOOKUP(CONCATENATE($E$12,$A$12,$D44),'Waiver Rate Table'!$B$8:$S$219,6,FALSE)))),"Unavailable",(IF($D44="","",VLOOKUP(CONCATENATE($E$12,$A$12,$D44),'Waiver Rate Table'!$B$8:$S$219,6,FALSE))))</f>
        <v>Unavailable</v>
      </c>
      <c r="J44" s="127" t="str">
        <f>IF(ISERROR((IF(I44="Unavailable","",VLOOKUP(CONCATENATE($E$12,$A$12,$D44),'Waiver Rate Table'!$B$8:$S$219,7,FALSE)))),"",(IF(I44="Unavailable","",VLOOKUP(CONCATENATE($E$12,$A$12,$D44),'Waiver Rate Table'!$B$8:$S$219,7,FALSE))))</f>
        <v/>
      </c>
      <c r="K44" s="104" t="str">
        <f>IF(ISERROR(IF(OR($I44="Unavailable",$K$32=""),"",IF(OR($J44="Upper Pay Limit",$J44="N/A"),"N/A",VLOOKUP(CONCATENATE($E$12,$A$12,$D44),'Waiver Rate Table'!$B$8:$S$219,16,FALSE)))),"",IF(OR($I44="Unavailable",$K$32=""),"",IF(OR($J44="Upper Pay Limit",$J44="N/A"),"N/A",VLOOKUP(CONCATENATE($E$12,$A$12,$D44),'Waiver Rate Table'!$B$8:$S$219,16,FALSE))))</f>
        <v/>
      </c>
      <c r="L44" s="204"/>
      <c r="M44" s="6" t="str">
        <f t="shared" si="34"/>
        <v/>
      </c>
      <c r="N44" s="28"/>
      <c r="O44" s="104" t="str">
        <f>IF(ISERROR(IF(OR($I44="Unavailable",$O$32=""),"",(IF(OR($J44="Upper Pay Limit",$J44="N/A"),"N/A",VLOOKUP(CONCATENATE($E$12,$A$12,$D44),'Waiver Rate Table'!$B$8:$S$219,17,FALSE))))),"",IF(OR($I44="Unavailable",$O$32=""),"",(IF(OR($J44="Upper Pay Limit",$J44="N/A"),"N/A",VLOOKUP(CONCATENATE($E$12,$A$12,$D44),'Waiver Rate Table'!$B$8:$S$219,17,FALSE)))))</f>
        <v/>
      </c>
      <c r="P44" s="204"/>
      <c r="Q44" s="6" t="str">
        <f t="shared" si="35"/>
        <v/>
      </c>
      <c r="R44" s="28"/>
      <c r="S44" s="610"/>
      <c r="T44" s="610"/>
      <c r="U44" s="610"/>
      <c r="V44" s="610"/>
      <c r="W44" s="610"/>
      <c r="X44" s="610"/>
      <c r="Y44" s="610"/>
      <c r="Z44" s="610"/>
      <c r="AA44" s="610"/>
      <c r="AB44" s="610"/>
      <c r="AC44" s="610"/>
      <c r="AD44" s="610"/>
      <c r="AE44" s="468" t="str">
        <f t="shared" si="36"/>
        <v/>
      </c>
      <c r="AF44" s="468" t="str">
        <f>IF(ISERROR((IF(SUM(N44+R44)&gt;VLOOKUP(CONCATENATE($E$12,$A$12,$D44),'Waiver Rate Table'!$B$8:$S$182,11,FALSE),"x",""))),"",(IF(SUM(N44+R44)&gt;VLOOKUP(CONCATENATE($E$12,$A$12,$D44),'Waiver Rate Table'!$B$8:$S$182,11,FALSE),"x","")))</f>
        <v/>
      </c>
      <c r="AG44" s="32"/>
      <c r="AP44" s="570">
        <v>2</v>
      </c>
      <c r="AQ44" s="331" t="s">
        <v>185</v>
      </c>
      <c r="AR44" s="570">
        <v>2</v>
      </c>
      <c r="AS44" s="347" t="s">
        <v>206</v>
      </c>
      <c r="AT44" s="575">
        <v>2</v>
      </c>
      <c r="AU44" s="555" t="s">
        <v>440</v>
      </c>
      <c r="AV44" s="579">
        <v>2</v>
      </c>
      <c r="AW44" s="244"/>
      <c r="AX44" s="316">
        <v>39</v>
      </c>
      <c r="AY44" s="225" t="s">
        <v>3</v>
      </c>
      <c r="AZ44" s="244"/>
      <c r="BA44" s="244"/>
      <c r="BB44" s="317" t="str">
        <f t="shared" si="39"/>
        <v>523-24</v>
      </c>
      <c r="BC44" s="226" t="s">
        <v>13</v>
      </c>
      <c r="BD44" s="226" t="s">
        <v>14</v>
      </c>
      <c r="BE44" s="226" t="s">
        <v>26</v>
      </c>
      <c r="BF44" s="226" t="s">
        <v>2</v>
      </c>
      <c r="BG44" s="155">
        <v>28.7</v>
      </c>
      <c r="BH44" s="155">
        <v>26.9</v>
      </c>
      <c r="BI44" s="155">
        <v>21.54</v>
      </c>
      <c r="BJ44" s="227" t="s">
        <v>20</v>
      </c>
      <c r="BK44" s="226"/>
      <c r="BL44" s="317" t="str">
        <f t="shared" si="7"/>
        <v>526</v>
      </c>
      <c r="BM44" s="356">
        <v>43282</v>
      </c>
      <c r="BN44" s="356">
        <v>43282</v>
      </c>
      <c r="BO44" s="360" t="s">
        <v>26</v>
      </c>
      <c r="BP44" s="358" t="s">
        <v>29</v>
      </c>
      <c r="BQ44" s="400">
        <v>28.81</v>
      </c>
      <c r="BR44" s="400">
        <v>27</v>
      </c>
      <c r="BS44" s="400">
        <v>21.65</v>
      </c>
      <c r="BT44" s="359">
        <v>5</v>
      </c>
      <c r="BU44" s="42"/>
      <c r="BV44" s="317" t="str">
        <f t="shared" si="8"/>
        <v>526</v>
      </c>
      <c r="BW44" s="356">
        <v>43282</v>
      </c>
      <c r="BX44" s="356">
        <v>43282</v>
      </c>
      <c r="BY44" s="360" t="s">
        <v>26</v>
      </c>
      <c r="BZ44" s="358" t="s">
        <v>29</v>
      </c>
      <c r="CA44" s="448">
        <v>31.16</v>
      </c>
      <c r="CB44" s="448">
        <v>29.21</v>
      </c>
      <c r="CC44" s="448">
        <v>23.42</v>
      </c>
      <c r="CD44" s="359">
        <v>5</v>
      </c>
      <c r="CE44" s="226"/>
      <c r="CF44" s="313" t="str">
        <f t="shared" si="13"/>
        <v>235</v>
      </c>
      <c r="CG44" s="356">
        <v>43282</v>
      </c>
      <c r="CH44" s="356">
        <v>43282</v>
      </c>
      <c r="CI44" s="370" t="s">
        <v>15</v>
      </c>
      <c r="CJ44" s="370"/>
      <c r="CK44" s="371">
        <v>3</v>
      </c>
      <c r="CL44" s="371">
        <v>5</v>
      </c>
      <c r="CM44" s="370">
        <v>2</v>
      </c>
      <c r="CN44" s="494">
        <f>'FPS Pivot Table'!D54</f>
        <v>67.94</v>
      </c>
      <c r="CO44" s="158"/>
      <c r="CP44" s="313" t="str">
        <f t="shared" si="14"/>
        <v>235</v>
      </c>
      <c r="CQ44" s="356">
        <v>43282</v>
      </c>
      <c r="CR44" s="356">
        <v>43282</v>
      </c>
      <c r="CS44" s="370" t="s">
        <v>15</v>
      </c>
      <c r="CT44" s="370"/>
      <c r="CU44" s="371">
        <v>3</v>
      </c>
      <c r="CV44" s="371">
        <v>5</v>
      </c>
      <c r="CW44" s="370">
        <v>2</v>
      </c>
      <c r="CX44" s="494">
        <f>'FPS Pivot Table'!E54</f>
        <v>70.66</v>
      </c>
      <c r="CY44" s="661">
        <f t="shared" si="15"/>
        <v>73.489999999999995</v>
      </c>
      <c r="CZ44" s="158"/>
      <c r="DA44" s="313" t="str">
        <f t="shared" si="9"/>
        <v>235</v>
      </c>
      <c r="DB44" s="356">
        <v>43282</v>
      </c>
      <c r="DC44" s="356">
        <v>43282</v>
      </c>
      <c r="DD44" s="371" t="s">
        <v>375</v>
      </c>
      <c r="DE44" s="371"/>
      <c r="DF44" s="371">
        <v>3</v>
      </c>
      <c r="DG44" s="371">
        <v>5</v>
      </c>
      <c r="DH44" s="371">
        <v>2</v>
      </c>
      <c r="DI44" s="494">
        <f>'FPS Pivot Table'!F54</f>
        <v>107.67</v>
      </c>
      <c r="DJ44" s="244"/>
      <c r="DK44" s="313" t="str">
        <f t="shared" si="40"/>
        <v>235</v>
      </c>
      <c r="DL44" s="356">
        <v>43282</v>
      </c>
      <c r="DM44" s="356">
        <v>43282</v>
      </c>
      <c r="DN44" s="371" t="s">
        <v>375</v>
      </c>
      <c r="DO44" s="371"/>
      <c r="DP44" s="371">
        <v>3</v>
      </c>
      <c r="DQ44" s="371">
        <v>5</v>
      </c>
      <c r="DR44" s="371">
        <v>2</v>
      </c>
      <c r="DS44" s="494">
        <f>'FPS Pivot Table'!G54</f>
        <v>111.98</v>
      </c>
      <c r="DT44" s="661">
        <f t="shared" si="16"/>
        <v>116.46</v>
      </c>
      <c r="DU44" s="244"/>
      <c r="DV44" s="244"/>
      <c r="DW44" s="244"/>
      <c r="DX44" s="244"/>
      <c r="DY44" s="244"/>
      <c r="DZ44" s="228" t="str">
        <f t="shared" si="11"/>
        <v>St. Mary'sSupported Employment</v>
      </c>
      <c r="EA44" s="518" t="s">
        <v>170</v>
      </c>
      <c r="EB44" s="463" t="s">
        <v>152</v>
      </c>
      <c r="EC44" s="229">
        <v>22.11</v>
      </c>
      <c r="ED44" s="462">
        <v>27.03</v>
      </c>
      <c r="EE44" s="536">
        <f>'FY24_PCI2_Rates.locked v3'!$Q$17</f>
        <v>30.36</v>
      </c>
      <c r="EF44" s="661">
        <f t="shared" si="17"/>
        <v>31.57</v>
      </c>
      <c r="EG44" s="536"/>
      <c r="EH44" s="228" t="str">
        <f t="shared" si="12"/>
        <v>St. Mary'sResidential</v>
      </c>
      <c r="EI44" s="228" t="s">
        <v>170</v>
      </c>
      <c r="EJ44" s="168" t="s">
        <v>376</v>
      </c>
      <c r="EK44" s="229">
        <v>19.78</v>
      </c>
      <c r="EL44" s="466">
        <v>24.18</v>
      </c>
      <c r="EM44" s="539">
        <f>'FY24_PCI2_Rates.locked v3'!$Q$24</f>
        <v>27.15</v>
      </c>
      <c r="EN44" s="661">
        <f t="shared" si="18"/>
        <v>28.24</v>
      </c>
      <c r="EO44" s="244"/>
      <c r="EP44" s="42"/>
      <c r="EQ44" s="42"/>
      <c r="ER44" s="42"/>
      <c r="ES44" s="244"/>
      <c r="ET44" s="244"/>
      <c r="EU44" s="244"/>
      <c r="EV44" s="244"/>
      <c r="EW44" s="244"/>
      <c r="EX44" s="244"/>
      <c r="EY44" s="244"/>
      <c r="EZ44" s="244"/>
      <c r="FA44" s="244"/>
      <c r="FB44" s="77"/>
      <c r="FC44" s="77"/>
      <c r="FD44" s="77"/>
      <c r="FE44" s="77"/>
      <c r="FF44" s="77"/>
      <c r="FG44" s="77"/>
      <c r="FH44" s="77"/>
      <c r="FI44" s="77"/>
      <c r="FJ44" s="77"/>
      <c r="FK44" s="77"/>
      <c r="FL44" s="77"/>
      <c r="FM44" s="77"/>
      <c r="FN44" s="77"/>
      <c r="FO44" s="77"/>
      <c r="FP44" s="77"/>
      <c r="FQ44" s="77"/>
      <c r="FR44" s="77"/>
      <c r="FS44" s="77"/>
      <c r="FT44" s="77"/>
      <c r="FU44" s="77"/>
      <c r="FV44" s="77"/>
      <c r="FW44" s="77"/>
    </row>
    <row r="45" spans="1:179">
      <c r="A45" s="468" t="str">
        <f>IF(B45&lt;&gt;"",SUM($B$19:B45),"")</f>
        <v/>
      </c>
      <c r="B45" s="468" t="str">
        <f t="shared" si="33"/>
        <v/>
      </c>
      <c r="D45" s="446"/>
      <c r="E45" s="428"/>
      <c r="F45" s="133"/>
      <c r="G45" s="134"/>
      <c r="H45" s="194"/>
      <c r="I45" s="451" t="str">
        <f>IF(ISERROR((IF($D45="","",VLOOKUP(CONCATENATE($E$12,$A$12,$D45),'Waiver Rate Table'!$B$8:$S$219,6,FALSE)))),"Unavailable",(IF($D45="","",VLOOKUP(CONCATENATE($E$12,$A$12,$D45),'Waiver Rate Table'!$B$8:$S$219,6,FALSE))))</f>
        <v/>
      </c>
      <c r="J45" s="127" t="str">
        <f>IF(ISERROR((IF(I45="Unavailable","",VLOOKUP(CONCATENATE($E$12,$A$12,$D45),'Waiver Rate Table'!$B$8:$S$219,7,FALSE)))),"",(IF(I45="Unavailable","",VLOOKUP(CONCATENATE($E$12,$A$12,$D45),'Waiver Rate Table'!$B$8:$S$219,7,FALSE))))</f>
        <v/>
      </c>
      <c r="K45" s="104" t="str">
        <f>IF(ISERROR(IF(OR($I45="Unavailable",$K$32=""),"",IF(OR($J45="Upper Pay Limit",$J45="N/A"),"N/A",VLOOKUP(CONCATENATE($E$12,$A$12,$D45),'Waiver Rate Table'!$B$8:$S$219,16,FALSE)))),"",IF(OR($I45="Unavailable",$K$32=""),"",IF(OR($J45="Upper Pay Limit",$J45="N/A"),"N/A",VLOOKUP(CONCATENATE($E$12,$A$12,$D45),'Waiver Rate Table'!$B$8:$S$219,16,FALSE))))</f>
        <v/>
      </c>
      <c r="L45" s="204"/>
      <c r="M45" s="6" t="str">
        <f t="shared" si="34"/>
        <v/>
      </c>
      <c r="N45" s="28"/>
      <c r="O45" s="104" t="str">
        <f>IF(ISERROR(IF(OR($I45="Unavailable",$O$32=""),"",(IF(OR($J45="Upper Pay Limit",$J45="N/A"),"N/A",VLOOKUP(CONCATENATE($E$12,$A$12,$D45),'Waiver Rate Table'!$B$8:$S$219,17,FALSE))))),"",IF(OR($I45="Unavailable",$O$32=""),"",(IF(OR($J45="Upper Pay Limit",$J45="N/A"),"N/A",VLOOKUP(CONCATENATE($E$12,$A$12,$D45),'Waiver Rate Table'!$B$8:$S$219,17,FALSE)))))</f>
        <v/>
      </c>
      <c r="P45" s="204"/>
      <c r="Q45" s="6" t="str">
        <f t="shared" si="35"/>
        <v/>
      </c>
      <c r="R45" s="28"/>
      <c r="S45" s="610"/>
      <c r="T45" s="610"/>
      <c r="U45" s="610"/>
      <c r="V45" s="610"/>
      <c r="W45" s="610"/>
      <c r="X45" s="610"/>
      <c r="Y45" s="610"/>
      <c r="Z45" s="610"/>
      <c r="AA45" s="610"/>
      <c r="AB45" s="610"/>
      <c r="AC45" s="610"/>
      <c r="AD45" s="610"/>
      <c r="AE45" s="468" t="str">
        <f t="shared" si="36"/>
        <v>x</v>
      </c>
      <c r="AF45" s="468" t="str">
        <f>IF(ISERROR((IF(SUM(N45+R45)&gt;VLOOKUP(CONCATENATE($E$12,$A$12,$D45),'Waiver Rate Table'!$B$8:$S$182,11,FALSE),"x",""))),"",(IF(SUM(N45+R45)&gt;VLOOKUP(CONCATENATE($E$12,$A$12,$D45),'Waiver Rate Table'!$B$8:$S$182,11,FALSE),"x","")))</f>
        <v/>
      </c>
      <c r="AG45" s="32"/>
      <c r="AP45" s="570">
        <v>3</v>
      </c>
      <c r="AQ45" s="331" t="s">
        <v>186</v>
      </c>
      <c r="AR45" s="570">
        <v>3</v>
      </c>
      <c r="AS45" s="317" t="s">
        <v>206</v>
      </c>
      <c r="AT45" s="575">
        <v>3</v>
      </c>
      <c r="AU45" s="333" t="s">
        <v>441</v>
      </c>
      <c r="AV45" s="579">
        <v>3</v>
      </c>
      <c r="AW45" s="244"/>
      <c r="AX45" s="316">
        <v>40</v>
      </c>
      <c r="AY45" s="225" t="s">
        <v>3</v>
      </c>
      <c r="AZ45" s="244"/>
      <c r="BA45" s="244"/>
      <c r="BB45" s="317" t="str">
        <f t="shared" si="39"/>
        <v>525</v>
      </c>
      <c r="BC45" s="226" t="s">
        <v>13</v>
      </c>
      <c r="BD45" s="226" t="s">
        <v>14</v>
      </c>
      <c r="BE45" s="226" t="s">
        <v>26</v>
      </c>
      <c r="BF45" s="226" t="s">
        <v>28</v>
      </c>
      <c r="BG45" s="155">
        <v>27.78</v>
      </c>
      <c r="BH45" s="155">
        <v>26.03</v>
      </c>
      <c r="BI45" s="155">
        <v>20.86</v>
      </c>
      <c r="BJ45" s="227" t="s">
        <v>20</v>
      </c>
      <c r="BK45" s="226"/>
      <c r="BL45" s="317" t="str">
        <f t="shared" si="7"/>
        <v>525</v>
      </c>
      <c r="BM45" s="356">
        <v>43282</v>
      </c>
      <c r="BN45" s="356">
        <v>43282</v>
      </c>
      <c r="BO45" s="360" t="s">
        <v>26</v>
      </c>
      <c r="BP45" s="358" t="s">
        <v>28</v>
      </c>
      <c r="BQ45" s="400">
        <v>29.76</v>
      </c>
      <c r="BR45" s="400">
        <v>27.88</v>
      </c>
      <c r="BS45" s="400">
        <v>22.35</v>
      </c>
      <c r="BT45" s="359">
        <v>5</v>
      </c>
      <c r="BU45" s="42"/>
      <c r="BV45" s="317" t="str">
        <f t="shared" si="8"/>
        <v>525</v>
      </c>
      <c r="BW45" s="356">
        <v>43282</v>
      </c>
      <c r="BX45" s="356">
        <v>43282</v>
      </c>
      <c r="BY45" s="360" t="s">
        <v>26</v>
      </c>
      <c r="BZ45" s="358" t="s">
        <v>28</v>
      </c>
      <c r="CA45" s="448">
        <v>32.19</v>
      </c>
      <c r="CB45" s="448">
        <v>30.16</v>
      </c>
      <c r="CC45" s="448">
        <v>24.17</v>
      </c>
      <c r="CD45" s="359">
        <v>5</v>
      </c>
      <c r="CE45" s="226"/>
      <c r="CF45" s="313" t="str">
        <f t="shared" si="13"/>
        <v>241</v>
      </c>
      <c r="CG45" s="356">
        <v>43282</v>
      </c>
      <c r="CH45" s="356">
        <v>43282</v>
      </c>
      <c r="CI45" s="370" t="s">
        <v>15</v>
      </c>
      <c r="CJ45" s="370"/>
      <c r="CK45" s="371">
        <v>4</v>
      </c>
      <c r="CL45" s="371">
        <v>1</v>
      </c>
      <c r="CM45" s="370">
        <v>2</v>
      </c>
      <c r="CN45" s="494">
        <f>'FPS Pivot Table'!D55</f>
        <v>58.66</v>
      </c>
      <c r="CO45" s="158"/>
      <c r="CP45" s="313" t="str">
        <f t="shared" si="14"/>
        <v>241</v>
      </c>
      <c r="CQ45" s="356">
        <v>43282</v>
      </c>
      <c r="CR45" s="356">
        <v>43282</v>
      </c>
      <c r="CS45" s="370" t="s">
        <v>15</v>
      </c>
      <c r="CT45" s="370"/>
      <c r="CU45" s="371">
        <v>4</v>
      </c>
      <c r="CV45" s="371">
        <v>1</v>
      </c>
      <c r="CW45" s="370">
        <v>2</v>
      </c>
      <c r="CX45" s="494">
        <f>'FPS Pivot Table'!E55</f>
        <v>61</v>
      </c>
      <c r="CY45" s="661">
        <f t="shared" si="15"/>
        <v>63.44</v>
      </c>
      <c r="CZ45" s="158"/>
      <c r="DA45" s="313" t="str">
        <f t="shared" si="9"/>
        <v>241</v>
      </c>
      <c r="DB45" s="356">
        <v>43282</v>
      </c>
      <c r="DC45" s="356">
        <v>43282</v>
      </c>
      <c r="DD45" s="371" t="s">
        <v>375</v>
      </c>
      <c r="DE45" s="371"/>
      <c r="DF45" s="371">
        <v>4</v>
      </c>
      <c r="DG45" s="371">
        <v>1</v>
      </c>
      <c r="DH45" s="371">
        <v>2</v>
      </c>
      <c r="DI45" s="494">
        <f>'FPS Pivot Table'!F55</f>
        <v>144.6</v>
      </c>
      <c r="DJ45" s="244"/>
      <c r="DK45" s="313" t="str">
        <f t="shared" si="40"/>
        <v>241</v>
      </c>
      <c r="DL45" s="356">
        <v>43282</v>
      </c>
      <c r="DM45" s="356">
        <v>43282</v>
      </c>
      <c r="DN45" s="371" t="s">
        <v>375</v>
      </c>
      <c r="DO45" s="371"/>
      <c r="DP45" s="371">
        <v>4</v>
      </c>
      <c r="DQ45" s="371">
        <v>1</v>
      </c>
      <c r="DR45" s="371">
        <v>2</v>
      </c>
      <c r="DS45" s="494">
        <f>'FPS Pivot Table'!G55</f>
        <v>150.38999999999999</v>
      </c>
      <c r="DT45" s="661">
        <f t="shared" si="16"/>
        <v>156.41</v>
      </c>
      <c r="DU45" s="244"/>
      <c r="DV45" s="244"/>
      <c r="DW45" s="244" t="s">
        <v>487</v>
      </c>
      <c r="DX45" s="244"/>
      <c r="DY45" s="244"/>
      <c r="DZ45" s="228" t="str">
        <f t="shared" si="11"/>
        <v>TalbotDay</v>
      </c>
      <c r="EA45" s="518" t="s">
        <v>176</v>
      </c>
      <c r="EB45" s="463" t="s">
        <v>134</v>
      </c>
      <c r="EC45" s="229">
        <v>22.11</v>
      </c>
      <c r="ED45" s="462">
        <v>27.03</v>
      </c>
      <c r="EE45" s="536">
        <f>'FY24_PCI2_Rates.locked v3'!$Q$17</f>
        <v>30.36</v>
      </c>
      <c r="EF45" s="661">
        <f t="shared" si="17"/>
        <v>31.57</v>
      </c>
      <c r="EG45" s="536"/>
      <c r="EH45" s="228" t="str">
        <f t="shared" si="12"/>
        <v>TalbotResidential</v>
      </c>
      <c r="EI45" s="228" t="s">
        <v>176</v>
      </c>
      <c r="EJ45" s="168" t="s">
        <v>376</v>
      </c>
      <c r="EK45" s="229">
        <v>19.78</v>
      </c>
      <c r="EL45" s="466">
        <v>24.18</v>
      </c>
      <c r="EM45" s="539">
        <f>'FY24_PCI2_Rates.locked v3'!$Q$24</f>
        <v>27.15</v>
      </c>
      <c r="EN45" s="661">
        <f t="shared" si="18"/>
        <v>28.24</v>
      </c>
      <c r="EO45" s="244"/>
      <c r="EP45" s="42"/>
      <c r="EQ45" s="42"/>
      <c r="ER45" s="42"/>
      <c r="ES45" s="244"/>
      <c r="ET45" s="244"/>
      <c r="EU45" s="244"/>
      <c r="EV45" s="244"/>
      <c r="EW45" s="244"/>
      <c r="EX45" s="244"/>
      <c r="EY45" s="244"/>
      <c r="EZ45" s="244"/>
      <c r="FA45" s="244"/>
      <c r="FB45" s="77"/>
      <c r="FC45" s="77"/>
      <c r="FD45" s="77"/>
      <c r="FE45" s="77"/>
      <c r="FF45" s="77"/>
      <c r="FG45" s="77"/>
      <c r="FH45" s="77"/>
      <c r="FI45" s="77"/>
      <c r="FJ45" s="77"/>
      <c r="FK45" s="77"/>
      <c r="FL45" s="77"/>
      <c r="FM45" s="77"/>
      <c r="FN45" s="77"/>
      <c r="FO45" s="77"/>
      <c r="FP45" s="77"/>
      <c r="FQ45" s="77"/>
      <c r="FR45" s="77"/>
      <c r="FS45" s="77"/>
      <c r="FT45" s="77"/>
      <c r="FU45" s="77"/>
      <c r="FV45" s="77"/>
      <c r="FW45" s="77"/>
    </row>
    <row r="46" spans="1:179">
      <c r="A46" s="468" t="str">
        <f>IF(B46&lt;&gt;"",SUM($B$19:B46),"")</f>
        <v/>
      </c>
      <c r="B46" s="468" t="str">
        <f t="shared" si="33"/>
        <v/>
      </c>
      <c r="D46" s="446"/>
      <c r="E46" s="428"/>
      <c r="F46" s="133"/>
      <c r="G46" s="134"/>
      <c r="H46" s="194"/>
      <c r="I46" s="451" t="str">
        <f>IF(ISERROR((IF($D46="","",VLOOKUP(CONCATENATE($E$12,$A$12,$D46),'Waiver Rate Table'!$B$8:$S$219,6,FALSE)))),"Unavailable",(IF($D46="","",VLOOKUP(CONCATENATE($E$12,$A$12,$D46),'Waiver Rate Table'!$B$8:$S$219,6,FALSE))))</f>
        <v/>
      </c>
      <c r="J46" s="127" t="str">
        <f>IF(ISERROR((IF(I46="Unavailable","",VLOOKUP(CONCATENATE($E$12,$A$12,$D46),'Waiver Rate Table'!$B$8:$S$219,7,FALSE)))),"",(IF(I46="Unavailable","",VLOOKUP(CONCATENATE($E$12,$A$12,$D46),'Waiver Rate Table'!$B$8:$S$219,7,FALSE))))</f>
        <v/>
      </c>
      <c r="K46" s="104" t="str">
        <f>IF(ISERROR(IF(OR($I46="Unavailable",$K$32=""),"",IF(OR($J46="Upper Pay Limit",$J46="N/A"),"N/A",VLOOKUP(CONCATENATE($E$12,$A$12,$D46),'Waiver Rate Table'!$B$8:$S$219,16,FALSE)))),"",IF(OR($I46="Unavailable",$K$32=""),"",IF(OR($J46="Upper Pay Limit",$J46="N/A"),"N/A",VLOOKUP(CONCATENATE($E$12,$A$12,$D46),'Waiver Rate Table'!$B$8:$S$219,16,FALSE))))</f>
        <v/>
      </c>
      <c r="L46" s="204"/>
      <c r="M46" s="6" t="str">
        <f t="shared" si="34"/>
        <v/>
      </c>
      <c r="N46" s="28"/>
      <c r="O46" s="104" t="str">
        <f>IF(ISERROR(IF(OR($I46="Unavailable",$O$32=""),"",(IF(OR($J46="Upper Pay Limit",$J46="N/A"),"N/A",VLOOKUP(CONCATENATE($E$12,$A$12,$D46),'Waiver Rate Table'!$B$8:$S$219,17,FALSE))))),"",IF(OR($I46="Unavailable",$O$32=""),"",(IF(OR($J46="Upper Pay Limit",$J46="N/A"),"N/A",VLOOKUP(CONCATENATE($E$12,$A$12,$D46),'Waiver Rate Table'!$B$8:$S$219,17,FALSE)))))</f>
        <v/>
      </c>
      <c r="P46" s="204"/>
      <c r="Q46" s="6" t="str">
        <f t="shared" si="35"/>
        <v/>
      </c>
      <c r="R46" s="28"/>
      <c r="S46" s="610"/>
      <c r="T46" s="610"/>
      <c r="U46" s="610"/>
      <c r="V46" s="610"/>
      <c r="W46" s="610"/>
      <c r="X46" s="610"/>
      <c r="Y46" s="610"/>
      <c r="Z46" s="610"/>
      <c r="AA46" s="610"/>
      <c r="AB46" s="610"/>
      <c r="AC46" s="610"/>
      <c r="AD46" s="610"/>
      <c r="AE46" s="468" t="str">
        <f t="shared" si="36"/>
        <v>x</v>
      </c>
      <c r="AF46" s="468" t="str">
        <f>IF(ISERROR((IF(SUM(N46+R46)&gt;VLOOKUP(CONCATENATE($E$12,$A$12,$D46),'Waiver Rate Table'!$B$8:$S$182,11,FALSE),"x",""))),"",(IF(SUM(N46+R46)&gt;VLOOKUP(CONCATENATE($E$12,$A$12,$D46),'Waiver Rate Table'!$B$8:$S$182,11,FALSE),"x","")))</f>
        <v/>
      </c>
      <c r="AG46" s="32"/>
      <c r="AP46" s="570">
        <v>4</v>
      </c>
      <c r="AQ46" s="331" t="s">
        <v>187</v>
      </c>
      <c r="AR46" s="570">
        <v>4</v>
      </c>
      <c r="AS46" s="317" t="s">
        <v>206</v>
      </c>
      <c r="AT46" s="575">
        <v>4</v>
      </c>
      <c r="AU46" s="333" t="s">
        <v>442</v>
      </c>
      <c r="AV46" s="579">
        <v>4</v>
      </c>
      <c r="AW46" s="244"/>
      <c r="AX46" s="316">
        <v>41</v>
      </c>
      <c r="AY46" s="225" t="s">
        <v>3</v>
      </c>
      <c r="AZ46" s="244"/>
      <c r="BA46" s="244"/>
      <c r="BB46" s="317" t="str">
        <f t="shared" si="39"/>
        <v>526</v>
      </c>
      <c r="BC46" s="226" t="s">
        <v>13</v>
      </c>
      <c r="BD46" s="226" t="s">
        <v>14</v>
      </c>
      <c r="BE46" s="226" t="s">
        <v>26</v>
      </c>
      <c r="BF46" s="226" t="s">
        <v>29</v>
      </c>
      <c r="BG46" s="155">
        <v>26.9</v>
      </c>
      <c r="BH46" s="155">
        <v>25.21</v>
      </c>
      <c r="BI46" s="155">
        <v>20.21</v>
      </c>
      <c r="BJ46" s="227" t="s">
        <v>20</v>
      </c>
      <c r="BK46" s="226"/>
      <c r="BL46" s="317" t="str">
        <f t="shared" si="7"/>
        <v>523-24</v>
      </c>
      <c r="BM46" s="356">
        <v>43282</v>
      </c>
      <c r="BN46" s="356">
        <v>43282</v>
      </c>
      <c r="BO46" s="360" t="s">
        <v>26</v>
      </c>
      <c r="BP46" s="358" t="s">
        <v>2</v>
      </c>
      <c r="BQ46" s="400">
        <v>30.74</v>
      </c>
      <c r="BR46" s="400">
        <v>28.81</v>
      </c>
      <c r="BS46" s="400">
        <v>23.07</v>
      </c>
      <c r="BT46" s="359">
        <v>5</v>
      </c>
      <c r="BU46" s="42"/>
      <c r="BV46" s="317" t="str">
        <f t="shared" si="8"/>
        <v>523-24</v>
      </c>
      <c r="BW46" s="356">
        <v>43282</v>
      </c>
      <c r="BX46" s="356">
        <v>43282</v>
      </c>
      <c r="BY46" s="360" t="s">
        <v>26</v>
      </c>
      <c r="BZ46" s="358" t="s">
        <v>2</v>
      </c>
      <c r="CA46" s="448">
        <v>33.26</v>
      </c>
      <c r="CB46" s="448">
        <v>31.16</v>
      </c>
      <c r="CC46" s="448">
        <v>24.95</v>
      </c>
      <c r="CD46" s="359">
        <v>5</v>
      </c>
      <c r="CE46" s="226"/>
      <c r="CF46" s="313" t="str">
        <f t="shared" si="13"/>
        <v>242</v>
      </c>
      <c r="CG46" s="356">
        <v>43282</v>
      </c>
      <c r="CH46" s="356">
        <v>43282</v>
      </c>
      <c r="CI46" s="370" t="s">
        <v>15</v>
      </c>
      <c r="CJ46" s="370"/>
      <c r="CK46" s="371">
        <v>4</v>
      </c>
      <c r="CL46" s="371">
        <v>2</v>
      </c>
      <c r="CM46" s="370">
        <v>2</v>
      </c>
      <c r="CN46" s="494">
        <f>'FPS Pivot Table'!D56</f>
        <v>61.79</v>
      </c>
      <c r="CO46" s="158"/>
      <c r="CP46" s="313" t="str">
        <f t="shared" si="14"/>
        <v>242</v>
      </c>
      <c r="CQ46" s="356">
        <v>43282</v>
      </c>
      <c r="CR46" s="356">
        <v>43282</v>
      </c>
      <c r="CS46" s="370" t="s">
        <v>15</v>
      </c>
      <c r="CT46" s="370"/>
      <c r="CU46" s="371">
        <v>4</v>
      </c>
      <c r="CV46" s="371">
        <v>2</v>
      </c>
      <c r="CW46" s="370">
        <v>2</v>
      </c>
      <c r="CX46" s="494">
        <f>'FPS Pivot Table'!E56</f>
        <v>64.260000000000005</v>
      </c>
      <c r="CY46" s="661">
        <f t="shared" si="15"/>
        <v>66.83</v>
      </c>
      <c r="CZ46" s="158"/>
      <c r="DA46" s="313" t="str">
        <f t="shared" si="9"/>
        <v>242</v>
      </c>
      <c r="DB46" s="356">
        <v>43282</v>
      </c>
      <c r="DC46" s="356">
        <v>43282</v>
      </c>
      <c r="DD46" s="371" t="s">
        <v>375</v>
      </c>
      <c r="DE46" s="371"/>
      <c r="DF46" s="371">
        <v>4</v>
      </c>
      <c r="DG46" s="371">
        <v>2</v>
      </c>
      <c r="DH46" s="371">
        <v>2</v>
      </c>
      <c r="DI46" s="494">
        <f>'FPS Pivot Table'!F56</f>
        <v>147.36000000000001</v>
      </c>
      <c r="DJ46" s="244"/>
      <c r="DK46" s="313" t="str">
        <f t="shared" si="40"/>
        <v>242</v>
      </c>
      <c r="DL46" s="356">
        <v>43282</v>
      </c>
      <c r="DM46" s="356">
        <v>43282</v>
      </c>
      <c r="DN46" s="371" t="s">
        <v>375</v>
      </c>
      <c r="DO46" s="371"/>
      <c r="DP46" s="371">
        <v>4</v>
      </c>
      <c r="DQ46" s="371">
        <v>2</v>
      </c>
      <c r="DR46" s="371">
        <v>2</v>
      </c>
      <c r="DS46" s="494">
        <f>'FPS Pivot Table'!G56</f>
        <v>153.25</v>
      </c>
      <c r="DT46" s="661">
        <f t="shared" si="16"/>
        <v>159.38</v>
      </c>
      <c r="DU46" s="244"/>
      <c r="DV46" s="244"/>
      <c r="DW46" s="244"/>
      <c r="DX46" s="244"/>
      <c r="DY46" s="244"/>
      <c r="DZ46" s="228" t="str">
        <f t="shared" si="11"/>
        <v>TalbotSupported Employment</v>
      </c>
      <c r="EA46" s="518" t="s">
        <v>176</v>
      </c>
      <c r="EB46" s="463" t="s">
        <v>152</v>
      </c>
      <c r="EC46" s="229">
        <v>22.11</v>
      </c>
      <c r="ED46" s="462">
        <v>27.03</v>
      </c>
      <c r="EE46" s="536">
        <f>'FY24_PCI2_Rates.locked v3'!$Q$17</f>
        <v>30.36</v>
      </c>
      <c r="EF46" s="661">
        <f t="shared" si="17"/>
        <v>31.57</v>
      </c>
      <c r="EG46" s="536"/>
      <c r="EH46" s="228" t="str">
        <f t="shared" si="12"/>
        <v>TalbotResidential</v>
      </c>
      <c r="EI46" s="228" t="s">
        <v>176</v>
      </c>
      <c r="EJ46" s="168" t="s">
        <v>376</v>
      </c>
      <c r="EK46" s="229">
        <v>19.78</v>
      </c>
      <c r="EL46" s="466">
        <v>24.18</v>
      </c>
      <c r="EM46" s="539">
        <f>'FY24_PCI2_Rates.locked v3'!$Q$24</f>
        <v>27.15</v>
      </c>
      <c r="EN46" s="661">
        <f t="shared" si="18"/>
        <v>28.24</v>
      </c>
      <c r="EO46" s="244"/>
      <c r="EP46" s="42"/>
      <c r="EQ46" s="42"/>
      <c r="ER46" s="42"/>
      <c r="ES46" s="244"/>
      <c r="ET46" s="244"/>
      <c r="EU46" s="244"/>
      <c r="EV46" s="244"/>
      <c r="EW46" s="244"/>
      <c r="EX46" s="244"/>
      <c r="EY46" s="244"/>
      <c r="EZ46" s="244"/>
      <c r="FA46" s="244"/>
      <c r="FB46" s="77"/>
      <c r="FC46" s="77"/>
      <c r="FD46" s="77"/>
      <c r="FE46" s="77"/>
      <c r="FF46" s="77"/>
      <c r="FG46" s="77"/>
      <c r="FH46" s="77"/>
      <c r="FI46" s="77"/>
      <c r="FJ46" s="77"/>
      <c r="FK46" s="77"/>
      <c r="FL46" s="77"/>
      <c r="FM46" s="77"/>
      <c r="FN46" s="77"/>
      <c r="FO46" s="77"/>
      <c r="FP46" s="77"/>
      <c r="FQ46" s="77"/>
      <c r="FR46" s="77"/>
      <c r="FS46" s="77"/>
      <c r="FT46" s="77"/>
      <c r="FU46" s="77"/>
      <c r="FV46" s="77"/>
      <c r="FW46" s="77"/>
    </row>
    <row r="47" spans="1:179">
      <c r="A47" s="468" t="str">
        <f>IF(B47&lt;&gt;"",SUM($B$19:B47),"")</f>
        <v/>
      </c>
      <c r="B47" s="468" t="str">
        <f t="shared" si="33"/>
        <v/>
      </c>
      <c r="D47" s="446"/>
      <c r="E47" s="428"/>
      <c r="F47" s="133"/>
      <c r="G47" s="134"/>
      <c r="H47" s="194"/>
      <c r="I47" s="451" t="str">
        <f>IF(ISERROR((IF($D47="","",VLOOKUP(CONCATENATE($E$12,$A$12,$D47),'Waiver Rate Table'!$B$8:$S$219,6,FALSE)))),"Unavailable",(IF($D47="","",VLOOKUP(CONCATENATE($E$12,$A$12,$D47),'Waiver Rate Table'!$B$8:$S$219,6,FALSE))))</f>
        <v/>
      </c>
      <c r="J47" s="127" t="str">
        <f>IF(ISERROR((IF(I47="Unavailable","",VLOOKUP(CONCATENATE($E$12,$A$12,$D47),'Waiver Rate Table'!$B$8:$S$219,7,FALSE)))),"",(IF(I47="Unavailable","",VLOOKUP(CONCATENATE($E$12,$A$12,$D47),'Waiver Rate Table'!$B$8:$S$219,7,FALSE))))</f>
        <v/>
      </c>
      <c r="K47" s="104" t="str">
        <f>IF(ISERROR(IF(OR($I47="Unavailable",$K$32=""),"",IF(OR($J47="Upper Pay Limit",$J47="N/A"),"N/A",VLOOKUP(CONCATENATE($E$12,$A$12,$D47),'Waiver Rate Table'!$B$8:$S$219,16,FALSE)))),"",IF(OR($I47="Unavailable",$K$32=""),"",IF(OR($J47="Upper Pay Limit",$J47="N/A"),"N/A",VLOOKUP(CONCATENATE($E$12,$A$12,$D47),'Waiver Rate Table'!$B$8:$S$219,16,FALSE))))</f>
        <v/>
      </c>
      <c r="L47" s="204"/>
      <c r="M47" s="6" t="str">
        <f t="shared" si="34"/>
        <v/>
      </c>
      <c r="N47" s="28"/>
      <c r="O47" s="104" t="str">
        <f>IF(ISERROR(IF(OR($I47="Unavailable",$O$32=""),"",(IF(OR($J47="Upper Pay Limit",$J47="N/A"),"N/A",VLOOKUP(CONCATENATE($E$12,$A$12,$D47),'Waiver Rate Table'!$B$8:$S$219,17,FALSE))))),"",IF(OR($I47="Unavailable",$O$32=""),"",(IF(OR($J47="Upper Pay Limit",$J47="N/A"),"N/A",VLOOKUP(CONCATENATE($E$12,$A$12,$D47),'Waiver Rate Table'!$B$8:$S$219,17,FALSE)))))</f>
        <v/>
      </c>
      <c r="P47" s="204"/>
      <c r="Q47" s="6" t="str">
        <f t="shared" si="35"/>
        <v/>
      </c>
      <c r="R47" s="28"/>
      <c r="S47" s="610"/>
      <c r="T47" s="610"/>
      <c r="U47" s="610"/>
      <c r="V47" s="610"/>
      <c r="W47" s="610"/>
      <c r="X47" s="610"/>
      <c r="Y47" s="610"/>
      <c r="Z47" s="610"/>
      <c r="AA47" s="610"/>
      <c r="AB47" s="610"/>
      <c r="AC47" s="610"/>
      <c r="AD47" s="610"/>
      <c r="AE47" s="468" t="str">
        <f t="shared" si="36"/>
        <v>x</v>
      </c>
      <c r="AF47" s="468" t="str">
        <f>IF(ISERROR((IF(SUM(N47+R47)&gt;VLOOKUP(CONCATENATE($E$12,$A$12,$D47),'Waiver Rate Table'!$B$8:$S$182,11,FALSE),"x",""))),"",(IF(SUM(N47+R47)&gt;VLOOKUP(CONCATENATE($E$12,$A$12,$D47),'Waiver Rate Table'!$B$8:$S$182,11,FALSE),"x","")))</f>
        <v/>
      </c>
      <c r="AG47" s="32"/>
      <c r="AP47" s="570">
        <v>5</v>
      </c>
      <c r="AQ47" s="331" t="s">
        <v>188</v>
      </c>
      <c r="AR47" s="570">
        <v>5</v>
      </c>
      <c r="AS47" s="317" t="s">
        <v>206</v>
      </c>
      <c r="AT47" s="575">
        <v>5</v>
      </c>
      <c r="AU47" s="333" t="s">
        <v>443</v>
      </c>
      <c r="AV47" s="579">
        <v>5</v>
      </c>
      <c r="AW47" s="244"/>
      <c r="AX47" s="316">
        <v>42</v>
      </c>
      <c r="AY47" s="225" t="s">
        <v>3</v>
      </c>
      <c r="AZ47" s="244"/>
      <c r="BA47" s="244"/>
      <c r="BB47" s="317" t="str">
        <f t="shared" si="39"/>
        <v>527</v>
      </c>
      <c r="BC47" s="226" t="s">
        <v>13</v>
      </c>
      <c r="BD47" s="226" t="s">
        <v>14</v>
      </c>
      <c r="BE47" s="226" t="s">
        <v>26</v>
      </c>
      <c r="BF47" s="226" t="s">
        <v>30</v>
      </c>
      <c r="BG47" s="155">
        <v>26.1</v>
      </c>
      <c r="BH47" s="155">
        <v>24.46</v>
      </c>
      <c r="BI47" s="155">
        <v>19.59</v>
      </c>
      <c r="BJ47" s="227" t="s">
        <v>20</v>
      </c>
      <c r="BK47" s="226"/>
      <c r="BL47" s="317" t="str">
        <f t="shared" si="7"/>
        <v>520-22</v>
      </c>
      <c r="BM47" s="356">
        <v>43282</v>
      </c>
      <c r="BN47" s="356">
        <v>43282</v>
      </c>
      <c r="BO47" s="360" t="s">
        <v>26</v>
      </c>
      <c r="BP47" s="358" t="s">
        <v>1</v>
      </c>
      <c r="BQ47" s="400">
        <v>31.81</v>
      </c>
      <c r="BR47" s="400">
        <v>29.82</v>
      </c>
      <c r="BS47" s="400">
        <v>23.89</v>
      </c>
      <c r="BT47" s="359">
        <v>5</v>
      </c>
      <c r="BU47" s="42"/>
      <c r="BV47" s="317" t="str">
        <f t="shared" si="8"/>
        <v>520-22</v>
      </c>
      <c r="BW47" s="356">
        <v>43282</v>
      </c>
      <c r="BX47" s="356">
        <v>43282</v>
      </c>
      <c r="BY47" s="360" t="s">
        <v>26</v>
      </c>
      <c r="BZ47" s="358" t="s">
        <v>1</v>
      </c>
      <c r="CA47" s="448">
        <v>34.4</v>
      </c>
      <c r="CB47" s="448">
        <v>32.25</v>
      </c>
      <c r="CC47" s="448">
        <v>25.83</v>
      </c>
      <c r="CD47" s="359">
        <v>5</v>
      </c>
      <c r="CE47" s="226"/>
      <c r="CF47" s="313" t="str">
        <f t="shared" si="13"/>
        <v>243</v>
      </c>
      <c r="CG47" s="356">
        <v>43282</v>
      </c>
      <c r="CH47" s="356">
        <v>43282</v>
      </c>
      <c r="CI47" s="370" t="s">
        <v>15</v>
      </c>
      <c r="CJ47" s="370"/>
      <c r="CK47" s="371">
        <v>4</v>
      </c>
      <c r="CL47" s="371">
        <v>3</v>
      </c>
      <c r="CM47" s="370">
        <v>2</v>
      </c>
      <c r="CN47" s="494">
        <f>'FPS Pivot Table'!D57</f>
        <v>66.83</v>
      </c>
      <c r="CO47" s="158"/>
      <c r="CP47" s="313" t="str">
        <f t="shared" si="14"/>
        <v>243</v>
      </c>
      <c r="CQ47" s="356">
        <v>43282</v>
      </c>
      <c r="CR47" s="356">
        <v>43282</v>
      </c>
      <c r="CS47" s="370" t="s">
        <v>15</v>
      </c>
      <c r="CT47" s="370"/>
      <c r="CU47" s="371">
        <v>4</v>
      </c>
      <c r="CV47" s="371">
        <v>3</v>
      </c>
      <c r="CW47" s="370">
        <v>2</v>
      </c>
      <c r="CX47" s="494">
        <f>'FPS Pivot Table'!E57</f>
        <v>69.5</v>
      </c>
      <c r="CY47" s="661">
        <f t="shared" si="15"/>
        <v>72.28</v>
      </c>
      <c r="CZ47" s="158"/>
      <c r="DA47" s="313" t="str">
        <f t="shared" si="9"/>
        <v>243</v>
      </c>
      <c r="DB47" s="356">
        <v>43282</v>
      </c>
      <c r="DC47" s="356">
        <v>43282</v>
      </c>
      <c r="DD47" s="371" t="s">
        <v>375</v>
      </c>
      <c r="DE47" s="371"/>
      <c r="DF47" s="371">
        <v>4</v>
      </c>
      <c r="DG47" s="371">
        <v>3</v>
      </c>
      <c r="DH47" s="371">
        <v>2</v>
      </c>
      <c r="DI47" s="494">
        <f>'FPS Pivot Table'!F57</f>
        <v>151.78</v>
      </c>
      <c r="DJ47" s="244"/>
      <c r="DK47" s="313" t="str">
        <f t="shared" si="40"/>
        <v>243</v>
      </c>
      <c r="DL47" s="356">
        <v>43282</v>
      </c>
      <c r="DM47" s="356">
        <v>43282</v>
      </c>
      <c r="DN47" s="371" t="s">
        <v>375</v>
      </c>
      <c r="DO47" s="371"/>
      <c r="DP47" s="371">
        <v>4</v>
      </c>
      <c r="DQ47" s="371">
        <v>3</v>
      </c>
      <c r="DR47" s="371">
        <v>2</v>
      </c>
      <c r="DS47" s="494">
        <f>'FPS Pivot Table'!G57</f>
        <v>157.85</v>
      </c>
      <c r="DT47" s="661">
        <f t="shared" si="16"/>
        <v>164.16</v>
      </c>
      <c r="DU47" s="244"/>
      <c r="DV47" s="244"/>
      <c r="DW47" s="244"/>
      <c r="DX47" s="244"/>
      <c r="DY47" s="244"/>
      <c r="DZ47" s="228" t="str">
        <f t="shared" si="11"/>
        <v>WashingtonDay</v>
      </c>
      <c r="EA47" s="521" t="s">
        <v>181</v>
      </c>
      <c r="EB47" s="463" t="s">
        <v>134</v>
      </c>
      <c r="EC47" s="229">
        <v>22.11</v>
      </c>
      <c r="ED47" s="462">
        <v>27.03</v>
      </c>
      <c r="EE47" s="536">
        <f>'FY24_PCI2_Rates.locked v3'!$Q$20</f>
        <v>30.36</v>
      </c>
      <c r="EF47" s="661">
        <f t="shared" si="17"/>
        <v>31.57</v>
      </c>
      <c r="EG47" s="536"/>
      <c r="EH47" s="228" t="str">
        <f t="shared" si="12"/>
        <v>WashingtonResidential</v>
      </c>
      <c r="EI47" s="228" t="s">
        <v>181</v>
      </c>
      <c r="EJ47" s="168" t="s">
        <v>376</v>
      </c>
      <c r="EK47" s="229">
        <v>19.78</v>
      </c>
      <c r="EL47" s="466">
        <v>24.18</v>
      </c>
      <c r="EM47" s="539">
        <f>'FY24_PCI2_Rates.locked v3'!$Q$27</f>
        <v>27.15</v>
      </c>
      <c r="EN47" s="661">
        <f t="shared" si="18"/>
        <v>28.24</v>
      </c>
      <c r="EO47" s="244"/>
      <c r="EP47" s="42"/>
      <c r="EQ47" s="42"/>
      <c r="ER47" s="42"/>
      <c r="ES47" s="244"/>
      <c r="ET47" s="244"/>
      <c r="EU47" s="244"/>
      <c r="EV47" s="244"/>
      <c r="EW47" s="244"/>
      <c r="EX47" s="244"/>
      <c r="EY47" s="244"/>
      <c r="EZ47" s="244"/>
      <c r="FA47" s="244"/>
      <c r="FB47" s="77"/>
      <c r="FC47" s="77"/>
      <c r="FD47" s="77"/>
      <c r="FE47" s="77"/>
      <c r="FF47" s="77"/>
      <c r="FG47" s="77"/>
      <c r="FH47" s="77"/>
      <c r="FI47" s="77"/>
      <c r="FJ47" s="77"/>
      <c r="FK47" s="77"/>
      <c r="FL47" s="77"/>
      <c r="FM47" s="77"/>
      <c r="FN47" s="77"/>
      <c r="FO47" s="77"/>
      <c r="FP47" s="77"/>
      <c r="FQ47" s="77"/>
      <c r="FR47" s="77"/>
      <c r="FS47" s="77"/>
      <c r="FT47" s="77"/>
      <c r="FU47" s="77"/>
      <c r="FV47" s="77"/>
      <c r="FW47" s="77"/>
    </row>
    <row r="48" spans="1:179">
      <c r="A48" s="468" t="str">
        <f>IF(B48&lt;&gt;"",SUM($B$19:B48),"")</f>
        <v/>
      </c>
      <c r="B48" s="468" t="str">
        <f t="shared" si="33"/>
        <v/>
      </c>
      <c r="D48" s="446"/>
      <c r="E48" s="428"/>
      <c r="F48" s="133"/>
      <c r="G48" s="134"/>
      <c r="H48" s="194"/>
      <c r="I48" s="451" t="str">
        <f>IF(ISERROR((IF($D48="","",VLOOKUP(CONCATENATE($E$12,$A$12,$D48),'Waiver Rate Table'!$B$8:$S$219,6,FALSE)))),"Unavailable",(IF($D48="","",VLOOKUP(CONCATENATE($E$12,$A$12,$D48),'Waiver Rate Table'!$B$8:$S$219,6,FALSE))))</f>
        <v/>
      </c>
      <c r="J48" s="127" t="str">
        <f>IF(ISERROR((IF(I48="Unavailable","",VLOOKUP(CONCATENATE($E$12,$A$12,$D48),'Waiver Rate Table'!$B$8:$S$219,7,FALSE)))),"",(IF(I48="Unavailable","",VLOOKUP(CONCATENATE($E$12,$A$12,$D48),'Waiver Rate Table'!$B$8:$S$219,7,FALSE))))</f>
        <v/>
      </c>
      <c r="K48" s="104" t="str">
        <f>IF(ISERROR(IF(OR($I48="Unavailable",$K$32=""),"",IF(OR($J48="Upper Pay Limit",$J48="N/A"),"N/A",VLOOKUP(CONCATENATE($E$12,$A$12,$D48),'Waiver Rate Table'!$B$8:$S$219,16,FALSE)))),"",IF(OR($I48="Unavailable",$K$32=""),"",IF(OR($J48="Upper Pay Limit",$J48="N/A"),"N/A",VLOOKUP(CONCATENATE($E$12,$A$12,$D48),'Waiver Rate Table'!$B$8:$S$219,16,FALSE))))</f>
        <v/>
      </c>
      <c r="L48" s="204"/>
      <c r="M48" s="6" t="str">
        <f t="shared" si="34"/>
        <v/>
      </c>
      <c r="N48" s="28"/>
      <c r="O48" s="104" t="str">
        <f>IF(ISERROR(IF(OR($I48="Unavailable",$O$32=""),"",(IF(OR($J48="Upper Pay Limit",$J48="N/A"),"N/A",VLOOKUP(CONCATENATE($E$12,$A$12,$D48),'Waiver Rate Table'!$B$8:$S$219,17,FALSE))))),"",IF(OR($I48="Unavailable",$O$32=""),"",(IF(OR($J48="Upper Pay Limit",$J48="N/A"),"N/A",VLOOKUP(CONCATENATE($E$12,$A$12,$D48),'Waiver Rate Table'!$B$8:$S$219,17,FALSE)))))</f>
        <v/>
      </c>
      <c r="P48" s="204"/>
      <c r="Q48" s="6" t="str">
        <f t="shared" si="35"/>
        <v/>
      </c>
      <c r="R48" s="28"/>
      <c r="S48" s="610"/>
      <c r="T48" s="610"/>
      <c r="U48" s="610"/>
      <c r="V48" s="610"/>
      <c r="W48" s="610"/>
      <c r="X48" s="610"/>
      <c r="Y48" s="610"/>
      <c r="Z48" s="610"/>
      <c r="AA48" s="610"/>
      <c r="AB48" s="610"/>
      <c r="AC48" s="610"/>
      <c r="AD48" s="610"/>
      <c r="AE48" s="468" t="str">
        <f t="shared" si="36"/>
        <v>x</v>
      </c>
      <c r="AF48" s="468" t="str">
        <f>IF(ISERROR((IF(SUM(N48+R48)&gt;VLOOKUP(CONCATENATE($E$12,$A$12,$D48),'Waiver Rate Table'!$B$8:$S$182,11,FALSE),"x",""))),"",(IF(SUM(N48+R48)&gt;VLOOKUP(CONCATENATE($E$12,$A$12,$D48),'Waiver Rate Table'!$B$8:$S$182,11,FALSE),"x","")))</f>
        <v/>
      </c>
      <c r="AG48" s="32"/>
      <c r="AP48" s="570">
        <v>6</v>
      </c>
      <c r="AQ48" s="331" t="s">
        <v>189</v>
      </c>
      <c r="AR48" s="570">
        <v>6</v>
      </c>
      <c r="AS48" s="317" t="s">
        <v>206</v>
      </c>
      <c r="AT48" s="575">
        <v>6</v>
      </c>
      <c r="AU48" s="333" t="s">
        <v>444</v>
      </c>
      <c r="AV48" s="579">
        <v>6</v>
      </c>
      <c r="AW48" s="244"/>
      <c r="AX48" s="316">
        <v>43</v>
      </c>
      <c r="AY48" s="225" t="s">
        <v>3</v>
      </c>
      <c r="AZ48" s="244"/>
      <c r="BA48" s="244"/>
      <c r="BB48" s="317" t="str">
        <f t="shared" si="39"/>
        <v>528-82</v>
      </c>
      <c r="BC48" s="226" t="s">
        <v>13</v>
      </c>
      <c r="BD48" s="226" t="s">
        <v>14</v>
      </c>
      <c r="BE48" s="226" t="s">
        <v>26</v>
      </c>
      <c r="BF48" s="226" t="s">
        <v>3</v>
      </c>
      <c r="BG48" s="155">
        <v>25.72</v>
      </c>
      <c r="BH48" s="155">
        <v>24.11</v>
      </c>
      <c r="BI48" s="155">
        <v>19.32</v>
      </c>
      <c r="BJ48" s="227" t="s">
        <v>20</v>
      </c>
      <c r="BK48" s="226"/>
      <c r="BL48" s="317" t="str">
        <f t="shared" si="7"/>
        <v>51-19</v>
      </c>
      <c r="BM48" s="356">
        <v>43282</v>
      </c>
      <c r="BN48" s="356">
        <v>43282</v>
      </c>
      <c r="BO48" s="360" t="s">
        <v>26</v>
      </c>
      <c r="BP48" s="358" t="s">
        <v>0</v>
      </c>
      <c r="BQ48" s="400">
        <v>33.270000000000003</v>
      </c>
      <c r="BR48" s="400">
        <v>30.95</v>
      </c>
      <c r="BS48" s="400">
        <v>24.8</v>
      </c>
      <c r="BT48" s="359">
        <v>5</v>
      </c>
      <c r="BU48" s="42"/>
      <c r="BV48" s="317" t="str">
        <f t="shared" si="8"/>
        <v>51-19</v>
      </c>
      <c r="BW48" s="356">
        <v>43282</v>
      </c>
      <c r="BX48" s="356">
        <v>43282</v>
      </c>
      <c r="BY48" s="360" t="s">
        <v>26</v>
      </c>
      <c r="BZ48" s="358" t="s">
        <v>0</v>
      </c>
      <c r="CA48" s="448">
        <v>35.99</v>
      </c>
      <c r="CB48" s="448">
        <v>33.47</v>
      </c>
      <c r="CC48" s="448">
        <v>26.83</v>
      </c>
      <c r="CD48" s="359">
        <v>5</v>
      </c>
      <c r="CE48" s="226"/>
      <c r="CF48" s="313" t="str">
        <f t="shared" si="13"/>
        <v>244</v>
      </c>
      <c r="CG48" s="356">
        <v>43282</v>
      </c>
      <c r="CH48" s="356">
        <v>43282</v>
      </c>
      <c r="CI48" s="370" t="s">
        <v>15</v>
      </c>
      <c r="CJ48" s="370"/>
      <c r="CK48" s="371">
        <v>4</v>
      </c>
      <c r="CL48" s="371">
        <v>4</v>
      </c>
      <c r="CM48" s="370">
        <v>2</v>
      </c>
      <c r="CN48" s="494">
        <f>'FPS Pivot Table'!D58</f>
        <v>73.63</v>
      </c>
      <c r="CO48" s="158"/>
      <c r="CP48" s="313" t="str">
        <f t="shared" si="14"/>
        <v>244</v>
      </c>
      <c r="CQ48" s="356">
        <v>43282</v>
      </c>
      <c r="CR48" s="356">
        <v>43282</v>
      </c>
      <c r="CS48" s="370" t="s">
        <v>15</v>
      </c>
      <c r="CT48" s="370"/>
      <c r="CU48" s="371">
        <v>4</v>
      </c>
      <c r="CV48" s="371">
        <v>4</v>
      </c>
      <c r="CW48" s="370">
        <v>2</v>
      </c>
      <c r="CX48" s="494">
        <f>'FPS Pivot Table'!E58</f>
        <v>76.58</v>
      </c>
      <c r="CY48" s="661">
        <f t="shared" si="15"/>
        <v>79.64</v>
      </c>
      <c r="CZ48" s="158"/>
      <c r="DA48" s="313" t="str">
        <f t="shared" si="9"/>
        <v>244</v>
      </c>
      <c r="DB48" s="356">
        <v>43282</v>
      </c>
      <c r="DC48" s="356">
        <v>43282</v>
      </c>
      <c r="DD48" s="371" t="s">
        <v>375</v>
      </c>
      <c r="DE48" s="371"/>
      <c r="DF48" s="371">
        <v>4</v>
      </c>
      <c r="DG48" s="371">
        <v>4</v>
      </c>
      <c r="DH48" s="371">
        <v>2</v>
      </c>
      <c r="DI48" s="494">
        <f>'FPS Pivot Table'!F58</f>
        <v>157.76</v>
      </c>
      <c r="DJ48" s="244"/>
      <c r="DK48" s="313" t="str">
        <f t="shared" si="40"/>
        <v>244</v>
      </c>
      <c r="DL48" s="356">
        <v>43282</v>
      </c>
      <c r="DM48" s="356">
        <v>43282</v>
      </c>
      <c r="DN48" s="371" t="s">
        <v>375</v>
      </c>
      <c r="DO48" s="371"/>
      <c r="DP48" s="371">
        <v>4</v>
      </c>
      <c r="DQ48" s="371">
        <v>4</v>
      </c>
      <c r="DR48" s="371">
        <v>2</v>
      </c>
      <c r="DS48" s="494">
        <f>'FPS Pivot Table'!G58</f>
        <v>164.07</v>
      </c>
      <c r="DT48" s="661">
        <f t="shared" si="16"/>
        <v>170.63</v>
      </c>
      <c r="DU48" s="244"/>
      <c r="DV48" s="244"/>
      <c r="DW48" s="244"/>
      <c r="DX48" s="244"/>
      <c r="DY48" s="244"/>
      <c r="DZ48" s="228" t="str">
        <f t="shared" si="11"/>
        <v>WashingtonSupported Employment</v>
      </c>
      <c r="EA48" s="521" t="s">
        <v>181</v>
      </c>
      <c r="EB48" s="463" t="s">
        <v>152</v>
      </c>
      <c r="EC48" s="229">
        <v>22.11</v>
      </c>
      <c r="ED48" s="462">
        <v>27.03</v>
      </c>
      <c r="EE48" s="536">
        <f>'FY24_PCI2_Rates.locked v3'!$Q$20</f>
        <v>30.36</v>
      </c>
      <c r="EF48" s="661">
        <f t="shared" si="17"/>
        <v>31.57</v>
      </c>
      <c r="EG48" s="536"/>
      <c r="EH48" s="228" t="str">
        <f t="shared" si="12"/>
        <v>WashingtonResidential</v>
      </c>
      <c r="EI48" s="228" t="s">
        <v>181</v>
      </c>
      <c r="EJ48" s="168" t="s">
        <v>376</v>
      </c>
      <c r="EK48" s="229">
        <v>19.78</v>
      </c>
      <c r="EL48" s="466">
        <v>24.18</v>
      </c>
      <c r="EM48" s="539">
        <f>'FY24_PCI2_Rates.locked v3'!$Q$27</f>
        <v>27.15</v>
      </c>
      <c r="EN48" s="661">
        <f t="shared" si="18"/>
        <v>28.24</v>
      </c>
      <c r="EO48" s="244"/>
      <c r="EP48" s="42"/>
      <c r="EQ48" s="42"/>
      <c r="ER48" s="42"/>
      <c r="ES48" s="244"/>
      <c r="ET48" s="244"/>
      <c r="EU48" s="244"/>
      <c r="EV48" s="244"/>
      <c r="EW48" s="244"/>
      <c r="EX48" s="244"/>
      <c r="EY48" s="244"/>
      <c r="EZ48" s="244"/>
      <c r="FA48" s="244"/>
      <c r="FB48" s="77"/>
      <c r="FC48" s="77"/>
      <c r="FD48" s="77"/>
      <c r="FE48" s="77"/>
      <c r="FF48" s="77"/>
      <c r="FG48" s="77"/>
      <c r="FH48" s="77"/>
      <c r="FI48" s="77"/>
      <c r="FJ48" s="77"/>
      <c r="FK48" s="77"/>
      <c r="FL48" s="77"/>
      <c r="FM48" s="77"/>
      <c r="FN48" s="77"/>
      <c r="FO48" s="77"/>
      <c r="FP48" s="77"/>
      <c r="FQ48" s="77"/>
      <c r="FR48" s="77"/>
      <c r="FS48" s="77"/>
      <c r="FT48" s="77"/>
      <c r="FU48" s="77"/>
      <c r="FV48" s="77"/>
      <c r="FW48" s="77"/>
    </row>
    <row r="49" spans="1:179">
      <c r="A49" s="468" t="str">
        <f>IF(B49&lt;&gt;"",SUM($B$19:B49),"")</f>
        <v/>
      </c>
      <c r="B49" s="468" t="str">
        <f t="shared" si="33"/>
        <v/>
      </c>
      <c r="D49" s="446"/>
      <c r="E49" s="428"/>
      <c r="F49" s="133"/>
      <c r="G49" s="134"/>
      <c r="H49" s="194"/>
      <c r="I49" s="451" t="str">
        <f>IF(ISERROR((IF($D49="","",VLOOKUP(CONCATENATE($E$12,$A$12,$D49),'Waiver Rate Table'!$B$8:$S$219,6,FALSE)))),"Unavailable",(IF($D49="","",VLOOKUP(CONCATENATE($E$12,$A$12,$D49),'Waiver Rate Table'!$B$8:$S$219,6,FALSE))))</f>
        <v/>
      </c>
      <c r="J49" s="127" t="str">
        <f>IF(ISERROR((IF(I49="Unavailable","",VLOOKUP(CONCATENATE($E$12,$A$12,$D49),'Waiver Rate Table'!$B$8:$S$219,7,FALSE)))),"",(IF(I49="Unavailable","",VLOOKUP(CONCATENATE($E$12,$A$12,$D49),'Waiver Rate Table'!$B$8:$S$219,7,FALSE))))</f>
        <v/>
      </c>
      <c r="K49" s="104" t="str">
        <f>IF(ISERROR(IF(OR($I49="Unavailable",$K$32=""),"",IF(OR($J49="Upper Pay Limit",$J49="N/A"),"N/A",VLOOKUP(CONCATENATE($E$12,$A$12,$D49),'Waiver Rate Table'!$B$8:$S$219,16,FALSE)))),"",IF(OR($I49="Unavailable",$K$32=""),"",IF(OR($J49="Upper Pay Limit",$J49="N/A"),"N/A",VLOOKUP(CONCATENATE($E$12,$A$12,$D49),'Waiver Rate Table'!$B$8:$S$219,16,FALSE))))</f>
        <v/>
      </c>
      <c r="L49" s="204"/>
      <c r="M49" s="6" t="str">
        <f t="shared" si="34"/>
        <v/>
      </c>
      <c r="N49" s="28"/>
      <c r="O49" s="104" t="str">
        <f>IF(ISERROR(IF(OR($I49="Unavailable",$O$32=""),"",(IF(OR($J49="Upper Pay Limit",$J49="N/A"),"N/A",VLOOKUP(CONCATENATE($E$12,$A$12,$D49),'Waiver Rate Table'!$B$8:$S$219,17,FALSE))))),"",IF(OR($I49="Unavailable",$O$32=""),"",(IF(OR($J49="Upper Pay Limit",$J49="N/A"),"N/A",VLOOKUP(CONCATENATE($E$12,$A$12,$D49),'Waiver Rate Table'!$B$8:$S$219,17,FALSE)))))</f>
        <v/>
      </c>
      <c r="P49" s="204"/>
      <c r="Q49" s="6" t="str">
        <f t="shared" si="35"/>
        <v/>
      </c>
      <c r="R49" s="28"/>
      <c r="S49" s="610"/>
      <c r="T49" s="610"/>
      <c r="U49" s="610"/>
      <c r="V49" s="610"/>
      <c r="W49" s="610"/>
      <c r="X49" s="610"/>
      <c r="Y49" s="610"/>
      <c r="Z49" s="610"/>
      <c r="AA49" s="610"/>
      <c r="AB49" s="610"/>
      <c r="AC49" s="610"/>
      <c r="AD49" s="610"/>
      <c r="AE49" s="468" t="str">
        <f t="shared" si="36"/>
        <v>x</v>
      </c>
      <c r="AF49" s="468" t="str">
        <f>IF(ISERROR((IF(SUM(N49+R49)&gt;VLOOKUP(CONCATENATE($E$12,$A$12,$D49),'Waiver Rate Table'!$B$8:$S$182,11,FALSE),"x",""))),"",(IF(SUM(N49+R49)&gt;VLOOKUP(CONCATENATE($E$12,$A$12,$D49),'Waiver Rate Table'!$B$8:$S$182,11,FALSE),"x","")))</f>
        <v/>
      </c>
      <c r="AG49" s="32"/>
      <c r="AP49" s="570">
        <v>7</v>
      </c>
      <c r="AQ49" s="331" t="s">
        <v>190</v>
      </c>
      <c r="AR49" s="570">
        <v>7</v>
      </c>
      <c r="AS49" s="317" t="s">
        <v>206</v>
      </c>
      <c r="AT49" s="575">
        <v>7</v>
      </c>
      <c r="AU49" s="333" t="s">
        <v>248</v>
      </c>
      <c r="AV49" s="579">
        <v>7</v>
      </c>
      <c r="AW49" s="244"/>
      <c r="AX49" s="316">
        <v>44</v>
      </c>
      <c r="AY49" s="225" t="s">
        <v>3</v>
      </c>
      <c r="AZ49" s="244"/>
      <c r="BA49" s="244"/>
      <c r="BB49" s="317" t="str">
        <f t="shared" si="39"/>
        <v>583-168</v>
      </c>
      <c r="BC49" s="226" t="s">
        <v>13</v>
      </c>
      <c r="BD49" s="226" t="s">
        <v>14</v>
      </c>
      <c r="BE49" s="226" t="s">
        <v>26</v>
      </c>
      <c r="BF49" s="226" t="s">
        <v>4</v>
      </c>
      <c r="BG49" s="155">
        <v>19.32</v>
      </c>
      <c r="BH49" s="155">
        <v>19.32</v>
      </c>
      <c r="BI49" s="155">
        <v>19.32</v>
      </c>
      <c r="BJ49" s="227" t="s">
        <v>20</v>
      </c>
      <c r="BK49" s="226"/>
      <c r="BL49" s="317" t="str">
        <f t="shared" si="7"/>
        <v>50</v>
      </c>
      <c r="BM49" s="356">
        <v>43282</v>
      </c>
      <c r="BN49" s="356">
        <v>43282</v>
      </c>
      <c r="BO49" s="360" t="s">
        <v>26</v>
      </c>
      <c r="BP49" s="358" t="s">
        <v>27</v>
      </c>
      <c r="BQ49" s="360">
        <v>0</v>
      </c>
      <c r="BR49" s="360">
        <v>0</v>
      </c>
      <c r="BS49" s="360">
        <v>0</v>
      </c>
      <c r="BT49" s="359">
        <v>5</v>
      </c>
      <c r="BU49" s="42"/>
      <c r="BV49" s="317" t="str">
        <f t="shared" si="8"/>
        <v>50</v>
      </c>
      <c r="BW49" s="356">
        <v>43282</v>
      </c>
      <c r="BX49" s="356">
        <v>43282</v>
      </c>
      <c r="BY49" s="360" t="s">
        <v>26</v>
      </c>
      <c r="BZ49" s="358" t="s">
        <v>27</v>
      </c>
      <c r="CA49" s="360">
        <v>0</v>
      </c>
      <c r="CB49" s="360">
        <v>0</v>
      </c>
      <c r="CC49" s="360">
        <v>0</v>
      </c>
      <c r="CD49" s="359">
        <v>5</v>
      </c>
      <c r="CE49" s="226"/>
      <c r="CF49" s="313" t="str">
        <f t="shared" si="13"/>
        <v>245</v>
      </c>
      <c r="CG49" s="356">
        <v>43282</v>
      </c>
      <c r="CH49" s="356">
        <v>43282</v>
      </c>
      <c r="CI49" s="370" t="s">
        <v>15</v>
      </c>
      <c r="CJ49" s="370"/>
      <c r="CK49" s="371">
        <v>4</v>
      </c>
      <c r="CL49" s="371">
        <v>5</v>
      </c>
      <c r="CM49" s="370">
        <v>2</v>
      </c>
      <c r="CN49" s="494">
        <f>'FPS Pivot Table'!D59</f>
        <v>79.59</v>
      </c>
      <c r="CO49" s="158"/>
      <c r="CP49" s="313" t="str">
        <f t="shared" si="14"/>
        <v>245</v>
      </c>
      <c r="CQ49" s="356">
        <v>43282</v>
      </c>
      <c r="CR49" s="356">
        <v>43282</v>
      </c>
      <c r="CS49" s="370" t="s">
        <v>15</v>
      </c>
      <c r="CT49" s="370"/>
      <c r="CU49" s="371">
        <v>4</v>
      </c>
      <c r="CV49" s="371">
        <v>5</v>
      </c>
      <c r="CW49" s="370">
        <v>2</v>
      </c>
      <c r="CX49" s="494">
        <f>'FPS Pivot Table'!E59</f>
        <v>82.77</v>
      </c>
      <c r="CY49" s="661">
        <f t="shared" si="15"/>
        <v>86.08</v>
      </c>
      <c r="CZ49" s="158"/>
      <c r="DA49" s="313" t="str">
        <f t="shared" si="9"/>
        <v>245</v>
      </c>
      <c r="DB49" s="356">
        <v>43282</v>
      </c>
      <c r="DC49" s="356">
        <v>43282</v>
      </c>
      <c r="DD49" s="371" t="s">
        <v>375</v>
      </c>
      <c r="DE49" s="371"/>
      <c r="DF49" s="371">
        <v>4</v>
      </c>
      <c r="DG49" s="371">
        <v>5</v>
      </c>
      <c r="DH49" s="371">
        <v>2</v>
      </c>
      <c r="DI49" s="494">
        <f>'FPS Pivot Table'!F59</f>
        <v>163</v>
      </c>
      <c r="DJ49" s="244"/>
      <c r="DK49" s="313" t="str">
        <f t="shared" si="40"/>
        <v>245</v>
      </c>
      <c r="DL49" s="356">
        <v>43282</v>
      </c>
      <c r="DM49" s="356">
        <v>43282</v>
      </c>
      <c r="DN49" s="371" t="s">
        <v>375</v>
      </c>
      <c r="DO49" s="371"/>
      <c r="DP49" s="371">
        <v>4</v>
      </c>
      <c r="DQ49" s="371">
        <v>5</v>
      </c>
      <c r="DR49" s="371">
        <v>2</v>
      </c>
      <c r="DS49" s="494">
        <f>'FPS Pivot Table'!G59</f>
        <v>169.52</v>
      </c>
      <c r="DT49" s="661">
        <f t="shared" si="16"/>
        <v>176.3</v>
      </c>
      <c r="DU49" s="244"/>
      <c r="DV49" s="244"/>
      <c r="DW49" s="244"/>
      <c r="DX49" s="244"/>
      <c r="DY49" s="244"/>
      <c r="DZ49" s="228" t="str">
        <f t="shared" si="11"/>
        <v>WicomicoDay</v>
      </c>
      <c r="EA49" s="518" t="s">
        <v>177</v>
      </c>
      <c r="EB49" s="463" t="s">
        <v>134</v>
      </c>
      <c r="EC49" s="229">
        <v>22.11</v>
      </c>
      <c r="ED49" s="462">
        <v>27.03</v>
      </c>
      <c r="EE49" s="536">
        <f>'FY24_PCI2_Rates.locked v3'!$Q$17</f>
        <v>30.36</v>
      </c>
      <c r="EF49" s="661">
        <f t="shared" si="17"/>
        <v>31.57</v>
      </c>
      <c r="EG49" s="536"/>
      <c r="EH49" s="228" t="str">
        <f t="shared" si="12"/>
        <v>WicomicoResidential</v>
      </c>
      <c r="EI49" s="228" t="s">
        <v>177</v>
      </c>
      <c r="EJ49" s="168" t="s">
        <v>376</v>
      </c>
      <c r="EK49" s="229">
        <v>19.78</v>
      </c>
      <c r="EL49" s="466">
        <v>24.18</v>
      </c>
      <c r="EM49" s="539">
        <f>'FY24_PCI2_Rates.locked v3'!$Q$24</f>
        <v>27.15</v>
      </c>
      <c r="EN49" s="661">
        <f t="shared" si="18"/>
        <v>28.24</v>
      </c>
      <c r="EO49" s="244"/>
      <c r="EP49" s="42"/>
      <c r="EQ49" s="42"/>
      <c r="ER49" s="42"/>
      <c r="ES49" s="244"/>
      <c r="ET49" s="244"/>
      <c r="EU49" s="244"/>
      <c r="EV49" s="244"/>
      <c r="EW49" s="244"/>
      <c r="EX49" s="244"/>
      <c r="EY49" s="244"/>
      <c r="EZ49" s="244"/>
      <c r="FA49" s="244"/>
      <c r="FB49" s="77"/>
      <c r="FC49" s="77"/>
      <c r="FD49" s="77"/>
      <c r="FE49" s="77"/>
      <c r="FF49" s="77"/>
      <c r="FG49" s="77"/>
      <c r="FH49" s="77"/>
      <c r="FI49" s="77"/>
      <c r="FJ49" s="77"/>
      <c r="FK49" s="77"/>
      <c r="FL49" s="77"/>
      <c r="FM49" s="77"/>
      <c r="FN49" s="77"/>
      <c r="FO49" s="77"/>
      <c r="FP49" s="77"/>
      <c r="FQ49" s="77"/>
      <c r="FR49" s="77"/>
      <c r="FS49" s="77"/>
      <c r="FT49" s="77"/>
      <c r="FU49" s="77"/>
      <c r="FV49" s="77"/>
      <c r="FW49" s="77"/>
    </row>
    <row r="50" spans="1:179">
      <c r="A50" s="468" t="str">
        <f>IF(B50&lt;&gt;"",SUM($B$19:B50),"")</f>
        <v/>
      </c>
      <c r="B50" s="468" t="str">
        <f t="shared" si="33"/>
        <v/>
      </c>
      <c r="D50" s="446"/>
      <c r="E50" s="428"/>
      <c r="F50" s="133"/>
      <c r="G50" s="134"/>
      <c r="H50" s="194"/>
      <c r="I50" s="451" t="str">
        <f>IF(ISERROR((IF($D50="","",VLOOKUP(CONCATENATE($E$12,$A$12,$D50),'Waiver Rate Table'!$B$8:$S$219,6,FALSE)))),"Unavailable",(IF($D50="","",VLOOKUP(CONCATENATE($E$12,$A$12,$D50),'Waiver Rate Table'!$B$8:$S$219,6,FALSE))))</f>
        <v/>
      </c>
      <c r="J50" s="127" t="str">
        <f>IF(ISERROR((IF(I50="Unavailable","",VLOOKUP(CONCATENATE($E$12,$A$12,$D50),'Waiver Rate Table'!$B$8:$S$219,7,FALSE)))),"",(IF(I50="Unavailable","",VLOOKUP(CONCATENATE($E$12,$A$12,$D50),'Waiver Rate Table'!$B$8:$S$219,7,FALSE))))</f>
        <v/>
      </c>
      <c r="K50" s="104" t="str">
        <f>IF(ISERROR(IF(OR($I50="Unavailable",$K$32=""),"",IF(OR($J50="Upper Pay Limit",$J50="N/A"),"N/A",VLOOKUP(CONCATENATE($E$12,$A$12,$D50),'Waiver Rate Table'!$B$8:$S$219,16,FALSE)))),"",IF(OR($I50="Unavailable",$K$32=""),"",IF(OR($J50="Upper Pay Limit",$J50="N/A"),"N/A",VLOOKUP(CONCATENATE($E$12,$A$12,$D50),'Waiver Rate Table'!$B$8:$S$219,16,FALSE))))</f>
        <v/>
      </c>
      <c r="L50" s="204"/>
      <c r="M50" s="6" t="str">
        <f t="shared" si="34"/>
        <v/>
      </c>
      <c r="N50" s="28"/>
      <c r="O50" s="104" t="str">
        <f>IF(ISERROR(IF(OR($I50="Unavailable",$O$32=""),"",(IF(OR($J50="Upper Pay Limit",$J50="N/A"),"N/A",VLOOKUP(CONCATENATE($E$12,$A$12,$D50),'Waiver Rate Table'!$B$8:$S$219,17,FALSE))))),"",IF(OR($I50="Unavailable",$O$32=""),"",(IF(OR($J50="Upper Pay Limit",$J50="N/A"),"N/A",VLOOKUP(CONCATENATE($E$12,$A$12,$D50),'Waiver Rate Table'!$B$8:$S$219,17,FALSE)))))</f>
        <v/>
      </c>
      <c r="P50" s="204"/>
      <c r="Q50" s="6" t="str">
        <f t="shared" si="35"/>
        <v/>
      </c>
      <c r="R50" s="28"/>
      <c r="S50" s="610"/>
      <c r="T50" s="610"/>
      <c r="U50" s="610"/>
      <c r="V50" s="610"/>
      <c r="W50" s="610"/>
      <c r="X50" s="610"/>
      <c r="Y50" s="610"/>
      <c r="Z50" s="610"/>
      <c r="AA50" s="610"/>
      <c r="AB50" s="610"/>
      <c r="AC50" s="610"/>
      <c r="AD50" s="610"/>
      <c r="AE50" s="468" t="str">
        <f t="shared" si="36"/>
        <v>x</v>
      </c>
      <c r="AF50" s="468" t="str">
        <f>IF(ISERROR((IF(SUM(N50+R50)&gt;VLOOKUP(CONCATENATE($E$12,$A$12,$D50),'Waiver Rate Table'!$B$8:$S$182,11,FALSE),"x",""))),"",(IF(SUM(N50+R50)&gt;VLOOKUP(CONCATENATE($E$12,$A$12,$D50),'Waiver Rate Table'!$B$8:$S$182,11,FALSE),"x","")))</f>
        <v/>
      </c>
      <c r="AG50" s="32"/>
      <c r="AP50" s="570">
        <v>8</v>
      </c>
      <c r="AQ50" s="331" t="s">
        <v>191</v>
      </c>
      <c r="AR50" s="570">
        <v>8</v>
      </c>
      <c r="AS50" s="317" t="s">
        <v>206</v>
      </c>
      <c r="AT50" s="575">
        <v>8</v>
      </c>
      <c r="AU50" s="333" t="s">
        <v>251</v>
      </c>
      <c r="AV50" s="579">
        <v>8</v>
      </c>
      <c r="AW50" s="244"/>
      <c r="AX50" s="316">
        <v>45</v>
      </c>
      <c r="AY50" s="225" t="s">
        <v>3</v>
      </c>
      <c r="AZ50" s="244"/>
      <c r="BA50" s="244"/>
      <c r="BB50" s="317" t="str">
        <f t="shared" si="39"/>
        <v>60</v>
      </c>
      <c r="BC50" s="226" t="s">
        <v>13</v>
      </c>
      <c r="BD50" s="226" t="s">
        <v>14</v>
      </c>
      <c r="BE50" s="226" t="s">
        <v>26</v>
      </c>
      <c r="BF50" s="226" t="s">
        <v>27</v>
      </c>
      <c r="BG50" s="155">
        <v>0</v>
      </c>
      <c r="BH50" s="155">
        <v>0</v>
      </c>
      <c r="BI50" s="155">
        <v>0</v>
      </c>
      <c r="BJ50" s="227" t="s">
        <v>21</v>
      </c>
      <c r="BK50" s="226"/>
      <c r="BL50" s="317" t="str">
        <f t="shared" si="7"/>
        <v>683-168</v>
      </c>
      <c r="BM50" s="356">
        <v>43282</v>
      </c>
      <c r="BN50" s="356">
        <v>43282</v>
      </c>
      <c r="BO50" s="360" t="s">
        <v>26</v>
      </c>
      <c r="BP50" s="358" t="s">
        <v>4</v>
      </c>
      <c r="BQ50" s="400">
        <v>20</v>
      </c>
      <c r="BR50" s="400">
        <v>20</v>
      </c>
      <c r="BS50" s="400">
        <v>20</v>
      </c>
      <c r="BT50" s="359">
        <v>6</v>
      </c>
      <c r="BU50" s="42"/>
      <c r="BV50" s="317" t="str">
        <f t="shared" si="8"/>
        <v>683-168</v>
      </c>
      <c r="BW50" s="356">
        <v>43282</v>
      </c>
      <c r="BX50" s="356">
        <v>43282</v>
      </c>
      <c r="BY50" s="360" t="s">
        <v>26</v>
      </c>
      <c r="BZ50" s="358" t="s">
        <v>4</v>
      </c>
      <c r="CA50" s="448">
        <v>21.63</v>
      </c>
      <c r="CB50" s="448">
        <v>21.62</v>
      </c>
      <c r="CC50" s="448">
        <v>21.63</v>
      </c>
      <c r="CD50" s="359">
        <v>6</v>
      </c>
      <c r="CE50" s="226"/>
      <c r="CF50" s="313" t="str">
        <f t="shared" si="13"/>
        <v>251</v>
      </c>
      <c r="CG50" s="356">
        <v>43282</v>
      </c>
      <c r="CH50" s="356">
        <v>43282</v>
      </c>
      <c r="CI50" s="370" t="s">
        <v>15</v>
      </c>
      <c r="CJ50" s="370"/>
      <c r="CK50" s="371">
        <v>5</v>
      </c>
      <c r="CL50" s="371">
        <v>1</v>
      </c>
      <c r="CM50" s="370">
        <v>2</v>
      </c>
      <c r="CN50" s="494">
        <f>'FPS Pivot Table'!D60</f>
        <v>81.680000000000007</v>
      </c>
      <c r="CO50" s="158"/>
      <c r="CP50" s="313" t="str">
        <f t="shared" si="14"/>
        <v>251</v>
      </c>
      <c r="CQ50" s="356">
        <v>43282</v>
      </c>
      <c r="CR50" s="356">
        <v>43282</v>
      </c>
      <c r="CS50" s="370" t="s">
        <v>15</v>
      </c>
      <c r="CT50" s="370"/>
      <c r="CU50" s="371">
        <v>5</v>
      </c>
      <c r="CV50" s="371">
        <v>1</v>
      </c>
      <c r="CW50" s="370">
        <v>2</v>
      </c>
      <c r="CX50" s="494">
        <f>'FPS Pivot Table'!E60</f>
        <v>84.95</v>
      </c>
      <c r="CY50" s="661">
        <f t="shared" si="15"/>
        <v>88.35</v>
      </c>
      <c r="CZ50" s="158"/>
      <c r="DA50" s="313" t="str">
        <f t="shared" si="9"/>
        <v>251</v>
      </c>
      <c r="DB50" s="356">
        <v>43282</v>
      </c>
      <c r="DC50" s="356">
        <v>43282</v>
      </c>
      <c r="DD50" s="371" t="s">
        <v>375</v>
      </c>
      <c r="DE50" s="371"/>
      <c r="DF50" s="371">
        <v>5</v>
      </c>
      <c r="DG50" s="371">
        <v>1</v>
      </c>
      <c r="DH50" s="371">
        <v>2</v>
      </c>
      <c r="DI50" s="494">
        <f>'FPS Pivot Table'!F60</f>
        <v>207.36</v>
      </c>
      <c r="DJ50" s="244"/>
      <c r="DK50" s="313" t="str">
        <f t="shared" si="40"/>
        <v>251</v>
      </c>
      <c r="DL50" s="356">
        <v>43282</v>
      </c>
      <c r="DM50" s="356">
        <v>43282</v>
      </c>
      <c r="DN50" s="371" t="s">
        <v>375</v>
      </c>
      <c r="DO50" s="371"/>
      <c r="DP50" s="371">
        <v>5</v>
      </c>
      <c r="DQ50" s="371">
        <v>1</v>
      </c>
      <c r="DR50" s="371">
        <v>2</v>
      </c>
      <c r="DS50" s="494">
        <f>'FPS Pivot Table'!G60</f>
        <v>215.66</v>
      </c>
      <c r="DT50" s="661">
        <f t="shared" si="16"/>
        <v>224.29</v>
      </c>
      <c r="DU50" s="244"/>
      <c r="DV50" s="244"/>
      <c r="DW50" s="244"/>
      <c r="DX50" s="244"/>
      <c r="DY50" s="244"/>
      <c r="DZ50" s="228" t="str">
        <f t="shared" si="11"/>
        <v>WicomicoSupported Employment</v>
      </c>
      <c r="EA50" s="518" t="s">
        <v>177</v>
      </c>
      <c r="EB50" s="463" t="s">
        <v>152</v>
      </c>
      <c r="EC50" s="229">
        <v>22.11</v>
      </c>
      <c r="ED50" s="462">
        <v>27.03</v>
      </c>
      <c r="EE50" s="536">
        <f>'FY24_PCI2_Rates.locked v3'!$Q$17</f>
        <v>30.36</v>
      </c>
      <c r="EF50" s="661">
        <f t="shared" si="17"/>
        <v>31.57</v>
      </c>
      <c r="EG50" s="536"/>
      <c r="EH50" s="228" t="str">
        <f t="shared" si="12"/>
        <v>WicomicoResidential</v>
      </c>
      <c r="EI50" s="228" t="s">
        <v>177</v>
      </c>
      <c r="EJ50" s="168" t="s">
        <v>376</v>
      </c>
      <c r="EK50" s="229">
        <v>19.78</v>
      </c>
      <c r="EL50" s="466">
        <v>24.18</v>
      </c>
      <c r="EM50" s="539">
        <f>'FY24_PCI2_Rates.locked v3'!$Q$24</f>
        <v>27.15</v>
      </c>
      <c r="EN50" s="661">
        <f t="shared" si="18"/>
        <v>28.24</v>
      </c>
      <c r="EO50" s="244"/>
      <c r="EP50" s="42"/>
      <c r="EQ50" s="42"/>
      <c r="ER50" s="42"/>
      <c r="ES50" s="42"/>
      <c r="ET50" s="244"/>
      <c r="EU50" s="244"/>
      <c r="EV50" s="244"/>
      <c r="EW50" s="244"/>
      <c r="EX50" s="244"/>
      <c r="EY50" s="244"/>
      <c r="EZ50" s="244"/>
      <c r="FA50" s="244"/>
      <c r="FB50" s="77"/>
      <c r="FC50" s="77"/>
      <c r="FD50" s="77"/>
      <c r="FE50" s="77"/>
      <c r="FF50" s="77"/>
      <c r="FG50" s="77"/>
      <c r="FH50" s="77"/>
      <c r="FI50" s="77"/>
      <c r="FJ50" s="77"/>
      <c r="FK50" s="77"/>
      <c r="FL50" s="77"/>
      <c r="FM50" s="77"/>
      <c r="FN50" s="77"/>
      <c r="FO50" s="77"/>
      <c r="FP50" s="77"/>
      <c r="FQ50" s="77"/>
      <c r="FR50" s="77"/>
      <c r="FS50" s="77"/>
      <c r="FT50" s="77"/>
      <c r="FU50" s="77"/>
      <c r="FV50" s="77"/>
      <c r="FW50" s="77"/>
    </row>
    <row r="51" spans="1:179">
      <c r="A51" s="468" t="str">
        <f>IF(B51&lt;&gt;"",SUM($B$19:B51),"")</f>
        <v/>
      </c>
      <c r="B51" s="468" t="str">
        <f t="shared" si="33"/>
        <v/>
      </c>
      <c r="D51" s="446"/>
      <c r="E51" s="428"/>
      <c r="F51" s="133"/>
      <c r="G51" s="134"/>
      <c r="H51" s="194"/>
      <c r="I51" s="451" t="str">
        <f>IF(ISERROR((IF($D51="","",VLOOKUP(CONCATENATE($E$12,$A$12,$D51),'Waiver Rate Table'!$B$8:$S$219,6,FALSE)))),"Unavailable",(IF($D51="","",VLOOKUP(CONCATENATE($E$12,$A$12,$D51),'Waiver Rate Table'!$B$8:$S$219,6,FALSE))))</f>
        <v/>
      </c>
      <c r="J51" s="127" t="str">
        <f>IF(ISERROR((IF(I51="Unavailable","",VLOOKUP(CONCATENATE($E$12,$A$12,$D51),'Waiver Rate Table'!$B$8:$S$219,7,FALSE)))),"",(IF(I51="Unavailable","",VLOOKUP(CONCATENATE($E$12,$A$12,$D51),'Waiver Rate Table'!$B$8:$S$219,7,FALSE))))</f>
        <v/>
      </c>
      <c r="K51" s="104" t="str">
        <f>IF(ISERROR(IF(OR($I51="Unavailable",$K$32=""),"",IF(OR($J51="Upper Pay Limit",$J51="N/A"),"N/A",VLOOKUP(CONCATENATE($E$12,$A$12,$D51),'Waiver Rate Table'!$B$8:$S$219,16,FALSE)))),"",IF(OR($I51="Unavailable",$K$32=""),"",IF(OR($J51="Upper Pay Limit",$J51="N/A"),"N/A",VLOOKUP(CONCATENATE($E$12,$A$12,$D51),'Waiver Rate Table'!$B$8:$S$219,16,FALSE))))</f>
        <v/>
      </c>
      <c r="L51" s="204"/>
      <c r="M51" s="6" t="str">
        <f t="shared" si="34"/>
        <v/>
      </c>
      <c r="N51" s="28"/>
      <c r="O51" s="104" t="str">
        <f>IF(ISERROR(IF(OR($I51="Unavailable",$O$32=""),"",(IF(OR($J51="Upper Pay Limit",$J51="N/A"),"N/A",VLOOKUP(CONCATENATE($E$12,$A$12,$D51),'Waiver Rate Table'!$B$8:$S$219,17,FALSE))))),"",IF(OR($I51="Unavailable",$O$32=""),"",(IF(OR($J51="Upper Pay Limit",$J51="N/A"),"N/A",VLOOKUP(CONCATENATE($E$12,$A$12,$D51),'Waiver Rate Table'!$B$8:$S$219,17,FALSE)))))</f>
        <v/>
      </c>
      <c r="P51" s="204"/>
      <c r="Q51" s="6" t="str">
        <f t="shared" si="35"/>
        <v/>
      </c>
      <c r="R51" s="28"/>
      <c r="S51" s="610"/>
      <c r="T51" s="610"/>
      <c r="U51" s="610"/>
      <c r="V51" s="610"/>
      <c r="W51" s="610"/>
      <c r="X51" s="610"/>
      <c r="Y51" s="610"/>
      <c r="Z51" s="610"/>
      <c r="AA51" s="610"/>
      <c r="AB51" s="610"/>
      <c r="AC51" s="610"/>
      <c r="AD51" s="610"/>
      <c r="AE51" s="468" t="str">
        <f t="shared" si="36"/>
        <v>x</v>
      </c>
      <c r="AF51" s="468" t="str">
        <f>IF(ISERROR((IF(SUM(N51+R51)&gt;VLOOKUP(CONCATENATE($E$12,$A$12,$D51),'Waiver Rate Table'!$B$8:$S$182,11,FALSE),"x",""))),"",(IF(SUM(N51+R51)&gt;VLOOKUP(CONCATENATE($E$12,$A$12,$D51),'Waiver Rate Table'!$B$8:$S$182,11,FALSE),"x","")))</f>
        <v/>
      </c>
      <c r="AG51" s="32"/>
      <c r="AP51" s="570">
        <v>9</v>
      </c>
      <c r="AQ51" s="331" t="s">
        <v>192</v>
      </c>
      <c r="AR51" s="570">
        <v>9</v>
      </c>
      <c r="AS51" s="317" t="s">
        <v>206</v>
      </c>
      <c r="AT51" s="575">
        <v>9</v>
      </c>
      <c r="AU51" s="333" t="s">
        <v>254</v>
      </c>
      <c r="AV51" s="579">
        <v>9</v>
      </c>
      <c r="AW51" s="244"/>
      <c r="AX51" s="316">
        <v>46</v>
      </c>
      <c r="AY51" s="225" t="s">
        <v>3</v>
      </c>
      <c r="AZ51" s="244"/>
      <c r="BA51" s="244"/>
      <c r="BB51" s="317" t="str">
        <f t="shared" si="39"/>
        <v>61-19</v>
      </c>
      <c r="BC51" s="226" t="s">
        <v>13</v>
      </c>
      <c r="BD51" s="226" t="s">
        <v>14</v>
      </c>
      <c r="BE51" s="226" t="s">
        <v>26</v>
      </c>
      <c r="BF51" s="226" t="s">
        <v>0</v>
      </c>
      <c r="BG51" s="155">
        <v>30</v>
      </c>
      <c r="BH51" s="155">
        <v>27.91</v>
      </c>
      <c r="BI51" s="155">
        <v>22.37</v>
      </c>
      <c r="BJ51" s="227" t="s">
        <v>21</v>
      </c>
      <c r="BK51" s="226"/>
      <c r="BL51" s="317" t="str">
        <f t="shared" si="7"/>
        <v>628-82</v>
      </c>
      <c r="BM51" s="356">
        <v>43282</v>
      </c>
      <c r="BN51" s="356">
        <v>43282</v>
      </c>
      <c r="BO51" s="360" t="s">
        <v>26</v>
      </c>
      <c r="BP51" s="358" t="s">
        <v>3</v>
      </c>
      <c r="BQ51" s="400">
        <v>26.62</v>
      </c>
      <c r="BR51" s="400">
        <v>24.95</v>
      </c>
      <c r="BS51" s="400">
        <v>20</v>
      </c>
      <c r="BT51" s="359">
        <v>6</v>
      </c>
      <c r="BU51" s="42"/>
      <c r="BV51" s="317" t="str">
        <f t="shared" si="8"/>
        <v>628-82</v>
      </c>
      <c r="BW51" s="356">
        <v>43282</v>
      </c>
      <c r="BX51" s="356">
        <v>43282</v>
      </c>
      <c r="BY51" s="360" t="s">
        <v>26</v>
      </c>
      <c r="BZ51" s="358" t="s">
        <v>3</v>
      </c>
      <c r="CA51" s="448">
        <v>28.79</v>
      </c>
      <c r="CB51" s="448">
        <v>26.99</v>
      </c>
      <c r="CC51" s="448">
        <v>21.65</v>
      </c>
      <c r="CD51" s="359">
        <v>6</v>
      </c>
      <c r="CE51" s="226"/>
      <c r="CF51" s="313" t="str">
        <f t="shared" si="13"/>
        <v>252</v>
      </c>
      <c r="CG51" s="356">
        <v>43282</v>
      </c>
      <c r="CH51" s="356">
        <v>43282</v>
      </c>
      <c r="CI51" s="370" t="s">
        <v>15</v>
      </c>
      <c r="CJ51" s="370"/>
      <c r="CK51" s="371">
        <v>5</v>
      </c>
      <c r="CL51" s="371">
        <v>2</v>
      </c>
      <c r="CM51" s="370">
        <v>2</v>
      </c>
      <c r="CN51" s="494">
        <f>'FPS Pivot Table'!D61</f>
        <v>84.79</v>
      </c>
      <c r="CO51" s="158"/>
      <c r="CP51" s="313" t="str">
        <f t="shared" si="14"/>
        <v>252</v>
      </c>
      <c r="CQ51" s="356">
        <v>43282</v>
      </c>
      <c r="CR51" s="356">
        <v>43282</v>
      </c>
      <c r="CS51" s="370" t="s">
        <v>15</v>
      </c>
      <c r="CT51" s="370"/>
      <c r="CU51" s="371">
        <v>5</v>
      </c>
      <c r="CV51" s="371">
        <v>2</v>
      </c>
      <c r="CW51" s="370">
        <v>2</v>
      </c>
      <c r="CX51" s="494">
        <f>'FPS Pivot Table'!E61</f>
        <v>88.18</v>
      </c>
      <c r="CY51" s="661">
        <f t="shared" si="15"/>
        <v>91.71</v>
      </c>
      <c r="CZ51" s="158"/>
      <c r="DA51" s="313" t="str">
        <f t="shared" si="9"/>
        <v>252</v>
      </c>
      <c r="DB51" s="356">
        <v>43282</v>
      </c>
      <c r="DC51" s="356">
        <v>43282</v>
      </c>
      <c r="DD51" s="371" t="s">
        <v>375</v>
      </c>
      <c r="DE51" s="371"/>
      <c r="DF51" s="371">
        <v>5</v>
      </c>
      <c r="DG51" s="371">
        <v>2</v>
      </c>
      <c r="DH51" s="371">
        <v>2</v>
      </c>
      <c r="DI51" s="494">
        <f>'FPS Pivot Table'!F61</f>
        <v>210.07</v>
      </c>
      <c r="DJ51" s="244"/>
      <c r="DK51" s="313" t="str">
        <f t="shared" si="40"/>
        <v>252</v>
      </c>
      <c r="DL51" s="356">
        <v>43282</v>
      </c>
      <c r="DM51" s="356">
        <v>43282</v>
      </c>
      <c r="DN51" s="371" t="s">
        <v>375</v>
      </c>
      <c r="DO51" s="371"/>
      <c r="DP51" s="371">
        <v>5</v>
      </c>
      <c r="DQ51" s="371">
        <v>2</v>
      </c>
      <c r="DR51" s="371">
        <v>2</v>
      </c>
      <c r="DS51" s="494">
        <f>'FPS Pivot Table'!G61</f>
        <v>218.48</v>
      </c>
      <c r="DT51" s="661">
        <f t="shared" si="16"/>
        <v>227.22</v>
      </c>
      <c r="DU51" s="244"/>
      <c r="DV51" s="244"/>
      <c r="DW51" s="244"/>
      <c r="DX51" s="244"/>
      <c r="DY51" s="244"/>
      <c r="DZ51" s="228" t="str">
        <f t="shared" si="11"/>
        <v>WorcesterDay</v>
      </c>
      <c r="EA51" s="518" t="s">
        <v>178</v>
      </c>
      <c r="EB51" s="463" t="s">
        <v>134</v>
      </c>
      <c r="EC51" s="229">
        <v>22.11</v>
      </c>
      <c r="ED51" s="462">
        <v>27.03</v>
      </c>
      <c r="EE51" s="536">
        <f>'FY24_PCI2_Rates.locked v3'!$Q$17</f>
        <v>30.36</v>
      </c>
      <c r="EF51" s="661">
        <f t="shared" si="17"/>
        <v>31.57</v>
      </c>
      <c r="EG51" s="536"/>
      <c r="EH51" s="228" t="str">
        <f t="shared" si="12"/>
        <v>WorcesterResidential</v>
      </c>
      <c r="EI51" s="228" t="s">
        <v>178</v>
      </c>
      <c r="EJ51" s="168" t="s">
        <v>376</v>
      </c>
      <c r="EK51" s="229">
        <v>19.78</v>
      </c>
      <c r="EL51" s="466">
        <v>24.18</v>
      </c>
      <c r="EM51" s="539">
        <f>'FY24_PCI2_Rates.locked v3'!$Q$24</f>
        <v>27.15</v>
      </c>
      <c r="EN51" s="661">
        <f t="shared" si="18"/>
        <v>28.24</v>
      </c>
      <c r="EO51" s="244"/>
      <c r="EP51" s="42"/>
      <c r="EQ51" s="42"/>
      <c r="ER51" s="42"/>
      <c r="ES51" s="42"/>
      <c r="ET51" s="244"/>
      <c r="EU51" s="244"/>
      <c r="EV51" s="244"/>
      <c r="EW51" s="244"/>
      <c r="EX51" s="244"/>
      <c r="EY51" s="244"/>
      <c r="EZ51" s="42"/>
      <c r="FA51" s="244"/>
      <c r="FB51" s="77"/>
      <c r="FC51" s="77"/>
      <c r="FD51" s="77"/>
      <c r="FE51" s="77"/>
      <c r="FF51" s="77"/>
      <c r="FG51" s="77"/>
      <c r="FH51" s="77"/>
      <c r="FI51" s="77"/>
      <c r="FJ51" s="77"/>
      <c r="FK51" s="77"/>
      <c r="FL51" s="77"/>
      <c r="FM51" s="77"/>
      <c r="FN51" s="77"/>
      <c r="FO51" s="77"/>
      <c r="FP51" s="77"/>
      <c r="FQ51" s="77"/>
      <c r="FR51" s="77"/>
      <c r="FS51" s="77"/>
      <c r="FT51" s="77"/>
      <c r="FU51" s="77"/>
      <c r="FV51" s="77"/>
      <c r="FW51" s="77"/>
    </row>
    <row r="52" spans="1:179" ht="15" thickBot="1">
      <c r="A52" s="468" t="str">
        <f>IF(B52&lt;&gt;"",SUM($B$19:B52),"")</f>
        <v/>
      </c>
      <c r="B52" s="468" t="str">
        <f t="shared" si="33"/>
        <v/>
      </c>
      <c r="D52" s="446"/>
      <c r="E52" s="428"/>
      <c r="F52" s="133"/>
      <c r="G52" s="134"/>
      <c r="H52" s="194"/>
      <c r="I52" s="451" t="str">
        <f>IF(ISERROR((IF($D52="","",VLOOKUP(CONCATENATE($E$12,$A$12,$D52),'Waiver Rate Table'!$B$8:$S$219,6,FALSE)))),"Unavailable",(IF($D52="","",VLOOKUP(CONCATENATE($E$12,$A$12,$D52),'Waiver Rate Table'!$B$8:$S$219,6,FALSE))))</f>
        <v/>
      </c>
      <c r="J52" s="127" t="str">
        <f>IF(ISERROR((IF(I52="Unavailable","",VLOOKUP(CONCATENATE($E$12,$A$12,$D52),'Waiver Rate Table'!$B$8:$S$219,7,FALSE)))),"",(IF(I52="Unavailable","",VLOOKUP(CONCATENATE($E$12,$A$12,$D52),'Waiver Rate Table'!$B$8:$S$219,7,FALSE))))</f>
        <v/>
      </c>
      <c r="K52" s="104" t="str">
        <f>IF(ISERROR(IF(OR($I52="Unavailable",$K$32=""),"",IF(OR($J52="Upper Pay Limit",$J52="N/A"),"N/A",VLOOKUP(CONCATENATE($E$12,$A$12,$D52),'Waiver Rate Table'!$B$8:$S$219,16,FALSE)))),"",IF(OR($I52="Unavailable",$K$32=""),"",IF(OR($J52="Upper Pay Limit",$J52="N/A"),"N/A",VLOOKUP(CONCATENATE($E$12,$A$12,$D52),'Waiver Rate Table'!$B$8:$S$219,16,FALSE))))</f>
        <v/>
      </c>
      <c r="L52" s="204"/>
      <c r="M52" s="6" t="str">
        <f t="shared" si="34"/>
        <v/>
      </c>
      <c r="N52" s="28"/>
      <c r="O52" s="104" t="str">
        <f>IF(ISERROR(IF(OR($I52="Unavailable",$O$32=""),"",(IF(OR($J52="Upper Pay Limit",$J52="N/A"),"N/A",VLOOKUP(CONCATENATE($E$12,$A$12,$D52),'Waiver Rate Table'!$B$8:$S$219,17,FALSE))))),"",IF(OR($I52="Unavailable",$O$32=""),"",(IF(OR($J52="Upper Pay Limit",$J52="N/A"),"N/A",VLOOKUP(CONCATENATE($E$12,$A$12,$D52),'Waiver Rate Table'!$B$8:$S$219,17,FALSE)))))</f>
        <v/>
      </c>
      <c r="P52" s="204"/>
      <c r="Q52" s="6" t="str">
        <f t="shared" si="35"/>
        <v/>
      </c>
      <c r="R52" s="28"/>
      <c r="S52" s="610"/>
      <c r="T52" s="610"/>
      <c r="U52" s="610"/>
      <c r="V52" s="610"/>
      <c r="W52" s="610"/>
      <c r="X52" s="610"/>
      <c r="Y52" s="610"/>
      <c r="Z52" s="610"/>
      <c r="AA52" s="610"/>
      <c r="AB52" s="610"/>
      <c r="AC52" s="610"/>
      <c r="AD52" s="610"/>
      <c r="AE52" s="468" t="str">
        <f t="shared" si="36"/>
        <v>x</v>
      </c>
      <c r="AF52" s="468" t="str">
        <f>IF(ISERROR((IF(SUM(N52+R52)&gt;VLOOKUP(CONCATENATE($E$12,$A$12,$D52),'Waiver Rate Table'!$B$8:$S$182,11,FALSE),"x",""))),"",(IF(SUM(N52+R52)&gt;VLOOKUP(CONCATENATE($E$12,$A$12,$D52),'Waiver Rate Table'!$B$8:$S$182,11,FALSE),"x","")))</f>
        <v/>
      </c>
      <c r="AG52" s="32"/>
      <c r="AP52" s="570">
        <v>10</v>
      </c>
      <c r="AQ52" s="331" t="s">
        <v>193</v>
      </c>
      <c r="AR52" s="570">
        <v>10</v>
      </c>
      <c r="AS52" s="317" t="s">
        <v>206</v>
      </c>
      <c r="AT52" s="575">
        <v>10</v>
      </c>
      <c r="AU52" s="333" t="s">
        <v>263</v>
      </c>
      <c r="AV52" s="579">
        <v>10</v>
      </c>
      <c r="AW52" s="244"/>
      <c r="AX52" s="316">
        <v>47</v>
      </c>
      <c r="AY52" s="225" t="s">
        <v>3</v>
      </c>
      <c r="AZ52" s="244"/>
      <c r="BA52" s="244"/>
      <c r="BB52" s="317" t="str">
        <f t="shared" si="39"/>
        <v>620-22</v>
      </c>
      <c r="BC52" s="226" t="s">
        <v>13</v>
      </c>
      <c r="BD52" s="226" t="s">
        <v>14</v>
      </c>
      <c r="BE52" s="226" t="s">
        <v>26</v>
      </c>
      <c r="BF52" s="226" t="s">
        <v>1</v>
      </c>
      <c r="BG52" s="155">
        <v>28.69</v>
      </c>
      <c r="BH52" s="155">
        <v>26.9</v>
      </c>
      <c r="BI52" s="155">
        <v>21.55</v>
      </c>
      <c r="BJ52" s="227" t="s">
        <v>21</v>
      </c>
      <c r="BK52" s="226"/>
      <c r="BL52" s="317" t="str">
        <f t="shared" si="7"/>
        <v>627</v>
      </c>
      <c r="BM52" s="356">
        <v>43282</v>
      </c>
      <c r="BN52" s="356">
        <v>43282</v>
      </c>
      <c r="BO52" s="360" t="s">
        <v>26</v>
      </c>
      <c r="BP52" s="358" t="s">
        <v>30</v>
      </c>
      <c r="BQ52" s="400">
        <v>27.01</v>
      </c>
      <c r="BR52" s="400">
        <v>25.32</v>
      </c>
      <c r="BS52" s="400">
        <v>20.28</v>
      </c>
      <c r="BT52" s="359">
        <v>6</v>
      </c>
      <c r="BU52" s="42"/>
      <c r="BV52" s="317" t="str">
        <f t="shared" si="8"/>
        <v>627</v>
      </c>
      <c r="BW52" s="356">
        <v>43282</v>
      </c>
      <c r="BX52" s="356">
        <v>43282</v>
      </c>
      <c r="BY52" s="360" t="s">
        <v>26</v>
      </c>
      <c r="BZ52" s="358" t="s">
        <v>30</v>
      </c>
      <c r="CA52" s="448">
        <v>29.21</v>
      </c>
      <c r="CB52" s="448">
        <v>27.38</v>
      </c>
      <c r="CC52" s="448">
        <v>21.93</v>
      </c>
      <c r="CD52" s="359">
        <v>6</v>
      </c>
      <c r="CE52" s="226"/>
      <c r="CF52" s="313" t="str">
        <f t="shared" si="13"/>
        <v>253</v>
      </c>
      <c r="CG52" s="356">
        <v>43282</v>
      </c>
      <c r="CH52" s="356">
        <v>43282</v>
      </c>
      <c r="CI52" s="370" t="s">
        <v>15</v>
      </c>
      <c r="CJ52" s="370"/>
      <c r="CK52" s="371">
        <v>5</v>
      </c>
      <c r="CL52" s="371">
        <v>3</v>
      </c>
      <c r="CM52" s="370">
        <v>2</v>
      </c>
      <c r="CN52" s="494">
        <f>'FPS Pivot Table'!D62</f>
        <v>89.82</v>
      </c>
      <c r="CO52" s="158"/>
      <c r="CP52" s="313" t="str">
        <f t="shared" si="14"/>
        <v>253</v>
      </c>
      <c r="CQ52" s="356">
        <v>43282</v>
      </c>
      <c r="CR52" s="356">
        <v>43282</v>
      </c>
      <c r="CS52" s="370" t="s">
        <v>15</v>
      </c>
      <c r="CT52" s="370"/>
      <c r="CU52" s="371">
        <v>5</v>
      </c>
      <c r="CV52" s="371">
        <v>3</v>
      </c>
      <c r="CW52" s="370">
        <v>2</v>
      </c>
      <c r="CX52" s="494">
        <f>'FPS Pivot Table'!E62</f>
        <v>93.41</v>
      </c>
      <c r="CY52" s="661">
        <f t="shared" si="15"/>
        <v>97.15</v>
      </c>
      <c r="CZ52" s="158"/>
      <c r="DA52" s="313" t="str">
        <f t="shared" si="9"/>
        <v>253</v>
      </c>
      <c r="DB52" s="356">
        <v>43282</v>
      </c>
      <c r="DC52" s="356">
        <v>43282</v>
      </c>
      <c r="DD52" s="371" t="s">
        <v>375</v>
      </c>
      <c r="DE52" s="371"/>
      <c r="DF52" s="371">
        <v>5</v>
      </c>
      <c r="DG52" s="371">
        <v>3</v>
      </c>
      <c r="DH52" s="371">
        <v>2</v>
      </c>
      <c r="DI52" s="494">
        <f>'FPS Pivot Table'!F62</f>
        <v>214.5</v>
      </c>
      <c r="DJ52" s="244"/>
      <c r="DK52" s="313" t="str">
        <f t="shared" si="40"/>
        <v>253</v>
      </c>
      <c r="DL52" s="356">
        <v>43282</v>
      </c>
      <c r="DM52" s="356">
        <v>43282</v>
      </c>
      <c r="DN52" s="371" t="s">
        <v>375</v>
      </c>
      <c r="DO52" s="371"/>
      <c r="DP52" s="371">
        <v>5</v>
      </c>
      <c r="DQ52" s="371">
        <v>3</v>
      </c>
      <c r="DR52" s="371">
        <v>2</v>
      </c>
      <c r="DS52" s="494">
        <f>'FPS Pivot Table'!G62</f>
        <v>223.07</v>
      </c>
      <c r="DT52" s="661">
        <f t="shared" si="16"/>
        <v>231.99</v>
      </c>
      <c r="DU52" s="244"/>
      <c r="DV52" s="244"/>
      <c r="DW52" s="244"/>
      <c r="DX52" s="244"/>
      <c r="DY52" s="244"/>
      <c r="DZ52" s="239" t="str">
        <f t="shared" si="11"/>
        <v>WorcesterSupported Employment</v>
      </c>
      <c r="EA52" s="519" t="s">
        <v>178</v>
      </c>
      <c r="EB52" s="464" t="s">
        <v>152</v>
      </c>
      <c r="EC52" s="269">
        <v>22.11</v>
      </c>
      <c r="ED52" s="462">
        <v>27.03</v>
      </c>
      <c r="EE52" s="536">
        <f>'FY24_PCI2_Rates.locked v3'!$Q$17</f>
        <v>30.36</v>
      </c>
      <c r="EF52" s="661">
        <f t="shared" si="17"/>
        <v>31.57</v>
      </c>
      <c r="EG52" s="536"/>
      <c r="EH52" s="239" t="str">
        <f t="shared" si="12"/>
        <v>WorcesterResidential</v>
      </c>
      <c r="EI52" s="239" t="s">
        <v>178</v>
      </c>
      <c r="EJ52" s="273" t="s">
        <v>376</v>
      </c>
      <c r="EK52" s="240">
        <v>19.78</v>
      </c>
      <c r="EL52" s="467">
        <v>24.18</v>
      </c>
      <c r="EM52" s="539">
        <f>'FY24_PCI2_Rates.locked v3'!$Q$24</f>
        <v>27.15</v>
      </c>
      <c r="EN52" s="661">
        <f t="shared" si="18"/>
        <v>28.24</v>
      </c>
      <c r="EO52" s="244"/>
      <c r="EP52" s="42"/>
      <c r="EQ52" s="42"/>
      <c r="ER52" s="42"/>
      <c r="ES52" s="42"/>
      <c r="ET52" s="244"/>
      <c r="EU52" s="244"/>
      <c r="EV52" s="244"/>
      <c r="EW52" s="42"/>
      <c r="EX52" s="244"/>
      <c r="EY52" s="42"/>
      <c r="EZ52" s="42"/>
      <c r="FA52" s="244"/>
      <c r="FB52" s="77"/>
      <c r="FC52" s="77"/>
      <c r="FD52" s="77"/>
      <c r="FE52" s="77"/>
      <c r="FF52" s="77"/>
      <c r="FG52" s="77"/>
      <c r="FH52" s="77"/>
      <c r="FI52" s="77"/>
      <c r="FJ52" s="77"/>
      <c r="FK52" s="77"/>
      <c r="FL52" s="77"/>
      <c r="FM52" s="77"/>
      <c r="FN52" s="77"/>
      <c r="FO52" s="77"/>
      <c r="FP52" s="77"/>
      <c r="FQ52" s="77"/>
      <c r="FR52" s="77"/>
      <c r="FS52" s="77"/>
      <c r="FT52" s="77"/>
      <c r="FU52" s="77"/>
      <c r="FV52" s="77"/>
      <c r="FW52" s="77"/>
    </row>
    <row r="53" spans="1:179">
      <c r="A53" s="468" t="str">
        <f>IF(B53&lt;&gt;"",SUM($B$19:B53),"")</f>
        <v/>
      </c>
      <c r="B53" s="468" t="str">
        <f t="shared" si="33"/>
        <v/>
      </c>
      <c r="D53" s="446"/>
      <c r="E53" s="428"/>
      <c r="F53" s="133"/>
      <c r="G53" s="134"/>
      <c r="H53" s="194"/>
      <c r="I53" s="451" t="str">
        <f>IF(ISERROR((IF($D53="","",VLOOKUP(CONCATENATE($E$12,$A$12,$D53),'Waiver Rate Table'!$B$8:$S$219,6,FALSE)))),"Unavailable",(IF($D53="","",VLOOKUP(CONCATENATE($E$12,$A$12,$D53),'Waiver Rate Table'!$B$8:$S$219,6,FALSE))))</f>
        <v/>
      </c>
      <c r="J53" s="127" t="str">
        <f>IF(ISERROR((IF(I53="Unavailable","",VLOOKUP(CONCATENATE($E$12,$A$12,$D53),'Waiver Rate Table'!$B$8:$S$219,7,FALSE)))),"",(IF(I53="Unavailable","",VLOOKUP(CONCATENATE($E$12,$A$12,$D53),'Waiver Rate Table'!$B$8:$S$219,7,FALSE))))</f>
        <v/>
      </c>
      <c r="K53" s="104" t="str">
        <f>IF(ISERROR(IF(OR($I53="Unavailable",$K$32=""),"",IF(OR($J53="Upper Pay Limit",$J53="N/A"),"N/A",VLOOKUP(CONCATENATE($E$12,$A$12,$D53),'Waiver Rate Table'!$B$8:$S$219,16,FALSE)))),"",IF(OR($I53="Unavailable",$K$32=""),"",IF(OR($J53="Upper Pay Limit",$J53="N/A"),"N/A",VLOOKUP(CONCATENATE($E$12,$A$12,$D53),'Waiver Rate Table'!$B$8:$S$219,16,FALSE))))</f>
        <v/>
      </c>
      <c r="L53" s="204"/>
      <c r="M53" s="6" t="str">
        <f t="shared" si="34"/>
        <v/>
      </c>
      <c r="N53" s="28"/>
      <c r="O53" s="104" t="str">
        <f>IF(ISERROR(IF(OR($I53="Unavailable",$O$32=""),"",(IF(OR($J53="Upper Pay Limit",$J53="N/A"),"N/A",VLOOKUP(CONCATENATE($E$12,$A$12,$D53),'Waiver Rate Table'!$B$8:$S$219,17,FALSE))))),"",IF(OR($I53="Unavailable",$O$32=""),"",(IF(OR($J53="Upper Pay Limit",$J53="N/A"),"N/A",VLOOKUP(CONCATENATE($E$12,$A$12,$D53),'Waiver Rate Table'!$B$8:$S$219,17,FALSE)))))</f>
        <v/>
      </c>
      <c r="P53" s="204"/>
      <c r="Q53" s="6" t="str">
        <f t="shared" si="35"/>
        <v/>
      </c>
      <c r="R53" s="28"/>
      <c r="S53" s="610"/>
      <c r="T53" s="610"/>
      <c r="U53" s="610"/>
      <c r="V53" s="610"/>
      <c r="W53" s="610"/>
      <c r="X53" s="610"/>
      <c r="Y53" s="610"/>
      <c r="Z53" s="610"/>
      <c r="AA53" s="610"/>
      <c r="AB53" s="610"/>
      <c r="AC53" s="610"/>
      <c r="AD53" s="610"/>
      <c r="AE53" s="468" t="str">
        <f t="shared" si="36"/>
        <v>x</v>
      </c>
      <c r="AF53" s="468" t="str">
        <f>IF(ISERROR((IF(SUM(N53+R53)&gt;VLOOKUP(CONCATENATE($E$12,$A$12,$D53),'Waiver Rate Table'!$B$8:$S$182,11,FALSE),"x",""))),"",(IF(SUM(N53+R53)&gt;VLOOKUP(CONCATENATE($E$12,$A$12,$D53),'Waiver Rate Table'!$B$8:$S$182,11,FALSE),"x","")))</f>
        <v/>
      </c>
      <c r="AG53" s="32"/>
      <c r="AP53" s="570">
        <v>11</v>
      </c>
      <c r="AQ53" s="331" t="s">
        <v>194</v>
      </c>
      <c r="AR53" s="570">
        <v>11</v>
      </c>
      <c r="AS53" s="317" t="s">
        <v>206</v>
      </c>
      <c r="AT53" s="575">
        <v>11</v>
      </c>
      <c r="AU53" s="333" t="s">
        <v>255</v>
      </c>
      <c r="AV53" s="579">
        <v>11</v>
      </c>
      <c r="AW53" s="244"/>
      <c r="AX53" s="316">
        <v>48</v>
      </c>
      <c r="AY53" s="225" t="s">
        <v>3</v>
      </c>
      <c r="AZ53" s="244"/>
      <c r="BA53" s="244"/>
      <c r="BB53" s="317" t="str">
        <f t="shared" si="39"/>
        <v>623-24</v>
      </c>
      <c r="BC53" s="226" t="s">
        <v>13</v>
      </c>
      <c r="BD53" s="226" t="s">
        <v>14</v>
      </c>
      <c r="BE53" s="226" t="s">
        <v>26</v>
      </c>
      <c r="BF53" s="226" t="s">
        <v>2</v>
      </c>
      <c r="BG53" s="155">
        <v>27.73</v>
      </c>
      <c r="BH53" s="155">
        <v>25.99</v>
      </c>
      <c r="BI53" s="155">
        <v>20.81</v>
      </c>
      <c r="BJ53" s="227" t="s">
        <v>21</v>
      </c>
      <c r="BK53" s="226"/>
      <c r="BL53" s="317" t="str">
        <f t="shared" si="7"/>
        <v>626</v>
      </c>
      <c r="BM53" s="356">
        <v>43282</v>
      </c>
      <c r="BN53" s="356">
        <v>43282</v>
      </c>
      <c r="BO53" s="360" t="s">
        <v>26</v>
      </c>
      <c r="BP53" s="358" t="s">
        <v>29</v>
      </c>
      <c r="BQ53" s="400">
        <v>27.84</v>
      </c>
      <c r="BR53" s="400">
        <v>26.09</v>
      </c>
      <c r="BS53" s="400">
        <v>20.92</v>
      </c>
      <c r="BT53" s="359">
        <v>6</v>
      </c>
      <c r="BU53" s="42"/>
      <c r="BV53" s="317" t="str">
        <f t="shared" si="8"/>
        <v>626</v>
      </c>
      <c r="BW53" s="356">
        <v>43282</v>
      </c>
      <c r="BX53" s="356">
        <v>43282</v>
      </c>
      <c r="BY53" s="360" t="s">
        <v>26</v>
      </c>
      <c r="BZ53" s="358" t="s">
        <v>29</v>
      </c>
      <c r="CA53" s="448">
        <v>30.11</v>
      </c>
      <c r="CB53" s="448">
        <v>28.22</v>
      </c>
      <c r="CC53" s="448">
        <v>22.63</v>
      </c>
      <c r="CD53" s="359">
        <v>6</v>
      </c>
      <c r="CE53" s="226"/>
      <c r="CF53" s="313" t="str">
        <f t="shared" si="13"/>
        <v>254</v>
      </c>
      <c r="CG53" s="356">
        <v>43282</v>
      </c>
      <c r="CH53" s="356">
        <v>43282</v>
      </c>
      <c r="CI53" s="370" t="s">
        <v>15</v>
      </c>
      <c r="CJ53" s="370"/>
      <c r="CK53" s="371">
        <v>5</v>
      </c>
      <c r="CL53" s="371">
        <v>4</v>
      </c>
      <c r="CM53" s="370">
        <v>2</v>
      </c>
      <c r="CN53" s="494">
        <f>'FPS Pivot Table'!D63</f>
        <v>96.62</v>
      </c>
      <c r="CO53" s="158"/>
      <c r="CP53" s="313" t="str">
        <f t="shared" si="14"/>
        <v>254</v>
      </c>
      <c r="CQ53" s="356">
        <v>43282</v>
      </c>
      <c r="CR53" s="356">
        <v>43282</v>
      </c>
      <c r="CS53" s="370" t="s">
        <v>15</v>
      </c>
      <c r="CT53" s="370"/>
      <c r="CU53" s="371">
        <v>5</v>
      </c>
      <c r="CV53" s="371">
        <v>4</v>
      </c>
      <c r="CW53" s="370">
        <v>2</v>
      </c>
      <c r="CX53" s="494">
        <f>'FPS Pivot Table'!E63</f>
        <v>100.48</v>
      </c>
      <c r="CY53" s="661">
        <f t="shared" si="15"/>
        <v>104.5</v>
      </c>
      <c r="CZ53" s="158"/>
      <c r="DA53" s="313" t="str">
        <f t="shared" si="9"/>
        <v>254</v>
      </c>
      <c r="DB53" s="356">
        <v>43282</v>
      </c>
      <c r="DC53" s="356">
        <v>43282</v>
      </c>
      <c r="DD53" s="371" t="s">
        <v>375</v>
      </c>
      <c r="DE53" s="371"/>
      <c r="DF53" s="371">
        <v>5</v>
      </c>
      <c r="DG53" s="371">
        <v>4</v>
      </c>
      <c r="DH53" s="371">
        <v>2</v>
      </c>
      <c r="DI53" s="494">
        <f>'FPS Pivot Table'!F63</f>
        <v>220.46</v>
      </c>
      <c r="DJ53" s="244"/>
      <c r="DK53" s="313" t="str">
        <f t="shared" si="40"/>
        <v>254</v>
      </c>
      <c r="DL53" s="356">
        <v>43282</v>
      </c>
      <c r="DM53" s="356">
        <v>43282</v>
      </c>
      <c r="DN53" s="371" t="s">
        <v>375</v>
      </c>
      <c r="DO53" s="371"/>
      <c r="DP53" s="371">
        <v>5</v>
      </c>
      <c r="DQ53" s="371">
        <v>4</v>
      </c>
      <c r="DR53" s="371">
        <v>2</v>
      </c>
      <c r="DS53" s="494">
        <f>'FPS Pivot Table'!G63</f>
        <v>229.28</v>
      </c>
      <c r="DT53" s="661">
        <f t="shared" si="16"/>
        <v>238.45</v>
      </c>
      <c r="DU53" s="244"/>
      <c r="DV53" s="244"/>
      <c r="DW53" s="244"/>
      <c r="DX53" s="244"/>
      <c r="DY53" s="244"/>
      <c r="DZ53" s="244"/>
      <c r="EA53" s="330"/>
      <c r="EB53" s="244"/>
      <c r="EC53" s="244"/>
      <c r="ED53" s="244"/>
      <c r="EE53" s="244"/>
      <c r="EF53" s="244"/>
      <c r="EG53" s="244"/>
      <c r="EH53" s="244"/>
      <c r="EI53" s="244"/>
      <c r="EJ53" s="244"/>
      <c r="EK53" s="244"/>
      <c r="EL53" s="244"/>
      <c r="EM53" s="244"/>
      <c r="EN53" s="244"/>
      <c r="EO53" s="244"/>
      <c r="EP53" s="42"/>
      <c r="EQ53" s="42"/>
      <c r="ER53" s="42"/>
      <c r="ES53" s="42"/>
      <c r="ET53" s="244"/>
      <c r="EU53" s="244"/>
      <c r="EV53" s="42"/>
      <c r="EW53" s="42"/>
      <c r="EX53" s="244"/>
      <c r="EY53" s="42"/>
      <c r="EZ53" s="42"/>
      <c r="FA53" s="42"/>
      <c r="FB53" s="77"/>
      <c r="FC53" s="77"/>
      <c r="FD53" s="77"/>
      <c r="FE53" s="77"/>
      <c r="FF53" s="77"/>
      <c r="FG53" s="77"/>
      <c r="FH53" s="77"/>
      <c r="FI53" s="77"/>
      <c r="FJ53" s="77"/>
      <c r="FK53" s="77"/>
      <c r="FL53" s="77"/>
      <c r="FM53" s="77"/>
      <c r="FN53" s="77"/>
      <c r="FO53" s="77"/>
      <c r="FP53" s="77"/>
      <c r="FQ53" s="77"/>
      <c r="FR53" s="77"/>
      <c r="FS53" s="77"/>
      <c r="FT53" s="77"/>
      <c r="FU53" s="77"/>
      <c r="FV53" s="77"/>
      <c r="FW53" s="77"/>
    </row>
    <row r="54" spans="1:179">
      <c r="A54" s="468" t="str">
        <f>IF(B54&lt;&gt;"",SUM($B$19:B54),"")</f>
        <v/>
      </c>
      <c r="B54" s="468" t="str">
        <f t="shared" si="33"/>
        <v/>
      </c>
      <c r="D54" s="446"/>
      <c r="E54" s="428"/>
      <c r="F54" s="133"/>
      <c r="G54" s="134"/>
      <c r="H54" s="194"/>
      <c r="I54" s="451" t="str">
        <f>IF(ISERROR((IF($D54="","",VLOOKUP(CONCATENATE($E$12,$A$12,$D54),'Waiver Rate Table'!$B$8:$S$219,6,FALSE)))),"Unavailable",(IF($D54="","",VLOOKUP(CONCATENATE($E$12,$A$12,$D54),'Waiver Rate Table'!$B$8:$S$219,6,FALSE))))</f>
        <v/>
      </c>
      <c r="J54" s="127" t="str">
        <f>IF(ISERROR((IF(I54="Unavailable","",VLOOKUP(CONCATENATE($E$12,$A$12,$D54),'Waiver Rate Table'!$B$8:$S$219,7,FALSE)))),"",(IF(I54="Unavailable","",VLOOKUP(CONCATENATE($E$12,$A$12,$D54),'Waiver Rate Table'!$B$8:$S$219,7,FALSE))))</f>
        <v/>
      </c>
      <c r="K54" s="104" t="str">
        <f>IF(ISERROR(IF(OR($I54="Unavailable",$K$32=""),"",IF(OR($J54="Upper Pay Limit",$J54="N/A"),"N/A",VLOOKUP(CONCATENATE($E$12,$A$12,$D54),'Waiver Rate Table'!$B$8:$S$219,16,FALSE)))),"",IF(OR($I54="Unavailable",$K$32=""),"",IF(OR($J54="Upper Pay Limit",$J54="N/A"),"N/A",VLOOKUP(CONCATENATE($E$12,$A$12,$D54),'Waiver Rate Table'!$B$8:$S$219,16,FALSE))))</f>
        <v/>
      </c>
      <c r="L54" s="204"/>
      <c r="M54" s="6" t="str">
        <f t="shared" si="34"/>
        <v/>
      </c>
      <c r="N54" s="28"/>
      <c r="O54" s="104" t="str">
        <f>IF(ISERROR(IF(OR($I54="Unavailable",$O$32=""),"",(IF(OR($J54="Upper Pay Limit",$J54="N/A"),"N/A",VLOOKUP(CONCATENATE($E$12,$A$12,$D54),'Waiver Rate Table'!$B$8:$S$219,17,FALSE))))),"",IF(OR($I54="Unavailable",$O$32=""),"",(IF(OR($J54="Upper Pay Limit",$J54="N/A"),"N/A",VLOOKUP(CONCATENATE($E$12,$A$12,$D54),'Waiver Rate Table'!$B$8:$S$219,17,FALSE)))))</f>
        <v/>
      </c>
      <c r="P54" s="204"/>
      <c r="Q54" s="6" t="str">
        <f t="shared" si="35"/>
        <v/>
      </c>
      <c r="R54" s="28"/>
      <c r="S54" s="610"/>
      <c r="T54" s="610"/>
      <c r="U54" s="610"/>
      <c r="V54" s="610"/>
      <c r="W54" s="610"/>
      <c r="X54" s="610"/>
      <c r="Y54" s="610"/>
      <c r="Z54" s="610"/>
      <c r="AA54" s="610"/>
      <c r="AB54" s="610"/>
      <c r="AC54" s="610"/>
      <c r="AD54" s="610"/>
      <c r="AE54" s="468" t="str">
        <f t="shared" si="36"/>
        <v>x</v>
      </c>
      <c r="AF54" s="468" t="str">
        <f>IF(ISERROR((IF(SUM(N54+R54)&gt;VLOOKUP(CONCATENATE($E$12,$A$12,$D54),'Waiver Rate Table'!$B$8:$S$182,11,FALSE),"x",""))),"",(IF(SUM(N54+R54)&gt;VLOOKUP(CONCATENATE($E$12,$A$12,$D54),'Waiver Rate Table'!$B$8:$S$182,11,FALSE),"x","")))</f>
        <v/>
      </c>
      <c r="AG54" s="32"/>
      <c r="AP54" s="570">
        <v>12</v>
      </c>
      <c r="AQ54" s="331" t="s">
        <v>195</v>
      </c>
      <c r="AR54" s="570">
        <v>12</v>
      </c>
      <c r="AS54" s="317" t="s">
        <v>206</v>
      </c>
      <c r="AT54" s="575">
        <v>12</v>
      </c>
      <c r="AU54" s="333" t="s">
        <v>256</v>
      </c>
      <c r="AV54" s="579">
        <v>12</v>
      </c>
      <c r="AW54" s="244"/>
      <c r="AX54" s="316">
        <v>49</v>
      </c>
      <c r="AY54" s="225" t="s">
        <v>3</v>
      </c>
      <c r="AZ54" s="244"/>
      <c r="BA54" s="244"/>
      <c r="BB54" s="317" t="str">
        <f t="shared" si="39"/>
        <v>625</v>
      </c>
      <c r="BC54" s="226" t="s">
        <v>13</v>
      </c>
      <c r="BD54" s="226" t="s">
        <v>14</v>
      </c>
      <c r="BE54" s="226" t="s">
        <v>26</v>
      </c>
      <c r="BF54" s="226" t="s">
        <v>28</v>
      </c>
      <c r="BG54" s="155">
        <v>26.84</v>
      </c>
      <c r="BH54" s="155">
        <v>25.15</v>
      </c>
      <c r="BI54" s="155">
        <v>20.149999999999999</v>
      </c>
      <c r="BJ54" s="227" t="s">
        <v>21</v>
      </c>
      <c r="BK54" s="226"/>
      <c r="BL54" s="317" t="str">
        <f t="shared" si="7"/>
        <v>625</v>
      </c>
      <c r="BM54" s="356">
        <v>43282</v>
      </c>
      <c r="BN54" s="356">
        <v>43282</v>
      </c>
      <c r="BO54" s="360" t="s">
        <v>26</v>
      </c>
      <c r="BP54" s="358" t="s">
        <v>28</v>
      </c>
      <c r="BQ54" s="400">
        <v>28.75</v>
      </c>
      <c r="BR54" s="400">
        <v>26.94</v>
      </c>
      <c r="BS54" s="400">
        <v>21.59</v>
      </c>
      <c r="BT54" s="359">
        <v>6</v>
      </c>
      <c r="BU54" s="42"/>
      <c r="BV54" s="317" t="str">
        <f t="shared" si="8"/>
        <v>625</v>
      </c>
      <c r="BW54" s="356">
        <v>43282</v>
      </c>
      <c r="BX54" s="356">
        <v>43282</v>
      </c>
      <c r="BY54" s="360" t="s">
        <v>26</v>
      </c>
      <c r="BZ54" s="358" t="s">
        <v>28</v>
      </c>
      <c r="CA54" s="448">
        <v>31.1</v>
      </c>
      <c r="CB54" s="448">
        <v>29.14</v>
      </c>
      <c r="CC54" s="448">
        <v>23.35</v>
      </c>
      <c r="CD54" s="359">
        <v>6</v>
      </c>
      <c r="CE54" s="226"/>
      <c r="CF54" s="313" t="str">
        <f t="shared" si="13"/>
        <v>255</v>
      </c>
      <c r="CG54" s="356">
        <v>43282</v>
      </c>
      <c r="CH54" s="356">
        <v>43282</v>
      </c>
      <c r="CI54" s="370" t="s">
        <v>15</v>
      </c>
      <c r="CJ54" s="370"/>
      <c r="CK54" s="371">
        <v>5</v>
      </c>
      <c r="CL54" s="371">
        <v>5</v>
      </c>
      <c r="CM54" s="370">
        <v>2</v>
      </c>
      <c r="CN54" s="494">
        <f>'FPS Pivot Table'!D64</f>
        <v>102.59</v>
      </c>
      <c r="CO54" s="158"/>
      <c r="CP54" s="313" t="str">
        <f t="shared" si="14"/>
        <v>255</v>
      </c>
      <c r="CQ54" s="356">
        <v>43282</v>
      </c>
      <c r="CR54" s="356">
        <v>43282</v>
      </c>
      <c r="CS54" s="370" t="s">
        <v>15</v>
      </c>
      <c r="CT54" s="370"/>
      <c r="CU54" s="371">
        <v>5</v>
      </c>
      <c r="CV54" s="371">
        <v>5</v>
      </c>
      <c r="CW54" s="370">
        <v>2</v>
      </c>
      <c r="CX54" s="494">
        <f>'FPS Pivot Table'!E64</f>
        <v>106.69</v>
      </c>
      <c r="CY54" s="661">
        <f t="shared" si="15"/>
        <v>110.96</v>
      </c>
      <c r="CZ54" s="158"/>
      <c r="DA54" s="313" t="str">
        <f t="shared" si="9"/>
        <v>255</v>
      </c>
      <c r="DB54" s="356">
        <v>43282</v>
      </c>
      <c r="DC54" s="356">
        <v>43282</v>
      </c>
      <c r="DD54" s="371" t="s">
        <v>375</v>
      </c>
      <c r="DE54" s="371"/>
      <c r="DF54" s="371">
        <v>5</v>
      </c>
      <c r="DG54" s="371">
        <v>5</v>
      </c>
      <c r="DH54" s="371">
        <v>2</v>
      </c>
      <c r="DI54" s="494">
        <f>'FPS Pivot Table'!F64</f>
        <v>225.72</v>
      </c>
      <c r="DJ54" s="244"/>
      <c r="DK54" s="313" t="str">
        <f t="shared" si="40"/>
        <v>255</v>
      </c>
      <c r="DL54" s="356">
        <v>43282</v>
      </c>
      <c r="DM54" s="356">
        <v>43282</v>
      </c>
      <c r="DN54" s="371" t="s">
        <v>375</v>
      </c>
      <c r="DO54" s="371"/>
      <c r="DP54" s="371">
        <v>5</v>
      </c>
      <c r="DQ54" s="371">
        <v>5</v>
      </c>
      <c r="DR54" s="371">
        <v>2</v>
      </c>
      <c r="DS54" s="494">
        <f>'FPS Pivot Table'!G64</f>
        <v>234.75</v>
      </c>
      <c r="DT54" s="661">
        <f t="shared" si="16"/>
        <v>244.14</v>
      </c>
      <c r="DU54" s="244"/>
      <c r="DV54" s="244"/>
      <c r="DW54" s="244"/>
      <c r="DX54" s="244"/>
      <c r="DY54" s="244"/>
      <c r="DZ54" s="244"/>
      <c r="EA54" s="330"/>
      <c r="EB54" s="244"/>
      <c r="EC54" s="244"/>
      <c r="ED54" s="244"/>
      <c r="EE54" s="244"/>
      <c r="EF54" s="244"/>
      <c r="EG54" s="244"/>
      <c r="EH54" s="244"/>
      <c r="EI54" s="244"/>
      <c r="EJ54" s="244"/>
      <c r="EK54" s="244"/>
      <c r="EL54" s="244"/>
      <c r="EM54" s="244"/>
      <c r="EN54" s="244"/>
      <c r="EO54" s="244"/>
      <c r="EP54" s="42"/>
      <c r="EQ54" s="42"/>
      <c r="ER54" s="42"/>
      <c r="ES54" s="42"/>
      <c r="ET54" s="244"/>
      <c r="EU54" s="244"/>
      <c r="EV54" s="42"/>
      <c r="EW54" s="42"/>
      <c r="EX54" s="244"/>
      <c r="EY54" s="42"/>
      <c r="EZ54" s="42"/>
      <c r="FA54" s="42"/>
      <c r="FB54" s="77"/>
      <c r="FC54" s="77"/>
      <c r="FD54" s="77"/>
      <c r="FE54" s="77"/>
      <c r="FF54" s="77"/>
      <c r="FG54" s="77"/>
      <c r="FH54" s="77"/>
      <c r="FI54" s="77"/>
      <c r="FJ54" s="77"/>
      <c r="FK54" s="77"/>
      <c r="FL54" s="77"/>
      <c r="FM54" s="77"/>
      <c r="FN54" s="77"/>
      <c r="FO54" s="77"/>
      <c r="FP54" s="77"/>
      <c r="FQ54" s="77"/>
      <c r="FR54" s="77"/>
      <c r="FS54" s="77"/>
      <c r="FT54" s="77"/>
      <c r="FU54" s="77"/>
      <c r="FV54" s="77"/>
      <c r="FW54" s="77"/>
    </row>
    <row r="55" spans="1:179" ht="14.4" customHeight="1">
      <c r="A55" s="468" t="str">
        <f>IF(B55&lt;&gt;"",SUM($B$19:B55),"")</f>
        <v/>
      </c>
      <c r="B55" s="468" t="str">
        <f t="shared" si="33"/>
        <v/>
      </c>
      <c r="D55" s="446"/>
      <c r="E55" s="428"/>
      <c r="F55" s="133"/>
      <c r="G55" s="134"/>
      <c r="H55" s="194"/>
      <c r="I55" s="451" t="str">
        <f>IF(ISERROR((IF($D55="","",VLOOKUP(CONCATENATE($E$12,$A$12,$D55),'Waiver Rate Table'!$B$8:$S$219,6,FALSE)))),"Unavailable",(IF($D55="","",VLOOKUP(CONCATENATE($E$12,$A$12,$D55),'Waiver Rate Table'!$B$8:$S$219,6,FALSE))))</f>
        <v/>
      </c>
      <c r="J55" s="127" t="str">
        <f>IF(ISERROR((IF(I55="Unavailable","",VLOOKUP(CONCATENATE($E$12,$A$12,$D55),'Waiver Rate Table'!$B$8:$S$219,7,FALSE)))),"",(IF(I55="Unavailable","",VLOOKUP(CONCATENATE($E$12,$A$12,$D55),'Waiver Rate Table'!$B$8:$S$219,7,FALSE))))</f>
        <v/>
      </c>
      <c r="K55" s="104" t="str">
        <f>IF(ISERROR(IF(OR($I55="Unavailable",$K$32=""),"",IF(OR($J55="Upper Pay Limit",$J55="N/A"),"N/A",VLOOKUP(CONCATENATE($E$12,$A$12,$D55),'Waiver Rate Table'!$B$8:$S$219,16,FALSE)))),"",IF(OR($I55="Unavailable",$K$32=""),"",IF(OR($J55="Upper Pay Limit",$J55="N/A"),"N/A",VLOOKUP(CONCATENATE($E$12,$A$12,$D55),'Waiver Rate Table'!$B$8:$S$219,16,FALSE))))</f>
        <v/>
      </c>
      <c r="L55" s="204"/>
      <c r="M55" s="6" t="str">
        <f t="shared" si="34"/>
        <v/>
      </c>
      <c r="N55" s="28"/>
      <c r="O55" s="104" t="str">
        <f>IF(ISERROR(IF(OR($I55="Unavailable",$O$32=""),"",(IF(OR($J55="Upper Pay Limit",$J55="N/A"),"N/A",VLOOKUP(CONCATENATE($E$12,$A$12,$D55),'Waiver Rate Table'!$B$8:$S$219,17,FALSE))))),"",IF(OR($I55="Unavailable",$O$32=""),"",(IF(OR($J55="Upper Pay Limit",$J55="N/A"),"N/A",VLOOKUP(CONCATENATE($E$12,$A$12,$D55),'Waiver Rate Table'!$B$8:$S$219,17,FALSE)))))</f>
        <v/>
      </c>
      <c r="P55" s="204"/>
      <c r="Q55" s="6" t="str">
        <f t="shared" si="35"/>
        <v/>
      </c>
      <c r="R55" s="28"/>
      <c r="S55" s="610"/>
      <c r="T55" s="610"/>
      <c r="U55" s="610"/>
      <c r="V55" s="610"/>
      <c r="W55" s="610"/>
      <c r="X55" s="610"/>
      <c r="Y55" s="610"/>
      <c r="Z55" s="610"/>
      <c r="AA55" s="610"/>
      <c r="AB55" s="610"/>
      <c r="AC55" s="610"/>
      <c r="AD55" s="610"/>
      <c r="AE55" s="468" t="str">
        <f t="shared" si="36"/>
        <v>x</v>
      </c>
      <c r="AF55" s="468" t="str">
        <f>IF(ISERROR((IF(SUM(N55+R55)&gt;VLOOKUP(CONCATENATE($E$12,$A$12,$D55),'Waiver Rate Table'!$B$8:$S$182,11,FALSE),"x",""))),"",(IF(SUM(N55+R55)&gt;VLOOKUP(CONCATENATE($E$12,$A$12,$D55),'Waiver Rate Table'!$B$8:$S$182,11,FALSE),"x","")))</f>
        <v/>
      </c>
      <c r="AG55" s="32"/>
      <c r="AP55" s="570">
        <v>13</v>
      </c>
      <c r="AQ55" s="331" t="s">
        <v>184</v>
      </c>
      <c r="AR55" s="570">
        <v>13</v>
      </c>
      <c r="AS55" s="317" t="s">
        <v>206</v>
      </c>
      <c r="AT55" s="575">
        <v>13</v>
      </c>
      <c r="AU55" s="333" t="s">
        <v>257</v>
      </c>
      <c r="AV55" s="579">
        <v>13</v>
      </c>
      <c r="AW55" s="244"/>
      <c r="AX55" s="316">
        <v>50</v>
      </c>
      <c r="AY55" s="225" t="s">
        <v>3</v>
      </c>
      <c r="AZ55" s="244"/>
      <c r="BA55" s="244"/>
      <c r="BB55" s="317" t="str">
        <f t="shared" si="39"/>
        <v>626</v>
      </c>
      <c r="BC55" s="226" t="s">
        <v>13</v>
      </c>
      <c r="BD55" s="226" t="s">
        <v>14</v>
      </c>
      <c r="BE55" s="226" t="s">
        <v>26</v>
      </c>
      <c r="BF55" s="226" t="s">
        <v>29</v>
      </c>
      <c r="BG55" s="155">
        <v>25.99</v>
      </c>
      <c r="BH55" s="155">
        <v>24.36</v>
      </c>
      <c r="BI55" s="155">
        <v>19.53</v>
      </c>
      <c r="BJ55" s="227" t="s">
        <v>21</v>
      </c>
      <c r="BK55" s="226"/>
      <c r="BL55" s="317" t="str">
        <f t="shared" si="7"/>
        <v>623-24</v>
      </c>
      <c r="BM55" s="356">
        <v>43282</v>
      </c>
      <c r="BN55" s="356">
        <v>43282</v>
      </c>
      <c r="BO55" s="360" t="s">
        <v>26</v>
      </c>
      <c r="BP55" s="358" t="s">
        <v>2</v>
      </c>
      <c r="BQ55" s="400">
        <v>29.7</v>
      </c>
      <c r="BR55" s="400">
        <v>27.84</v>
      </c>
      <c r="BS55" s="400">
        <v>22.29</v>
      </c>
      <c r="BT55" s="359">
        <v>6</v>
      </c>
      <c r="BU55" s="42"/>
      <c r="BV55" s="317" t="str">
        <f t="shared" si="8"/>
        <v>623-24</v>
      </c>
      <c r="BW55" s="356">
        <v>43282</v>
      </c>
      <c r="BX55" s="356">
        <v>43282</v>
      </c>
      <c r="BY55" s="360" t="s">
        <v>26</v>
      </c>
      <c r="BZ55" s="358" t="s">
        <v>2</v>
      </c>
      <c r="CA55" s="448">
        <v>32.130000000000003</v>
      </c>
      <c r="CB55" s="448">
        <v>30.11</v>
      </c>
      <c r="CC55" s="448">
        <v>24.11</v>
      </c>
      <c r="CD55" s="359">
        <v>6</v>
      </c>
      <c r="CE55" s="226"/>
      <c r="CF55" s="313" t="str">
        <f t="shared" si="13"/>
        <v>311</v>
      </c>
      <c r="CG55" s="356">
        <v>43282</v>
      </c>
      <c r="CH55" s="356">
        <v>43282</v>
      </c>
      <c r="CI55" s="370" t="s">
        <v>15</v>
      </c>
      <c r="CJ55" s="370"/>
      <c r="CK55" s="371">
        <v>1</v>
      </c>
      <c r="CL55" s="371">
        <v>1</v>
      </c>
      <c r="CM55" s="370">
        <v>3</v>
      </c>
      <c r="CN55" s="494">
        <f>'FPS Pivot Table'!D65</f>
        <v>27.69</v>
      </c>
      <c r="CO55" s="158"/>
      <c r="CP55" s="313" t="str">
        <f t="shared" si="14"/>
        <v>311</v>
      </c>
      <c r="CQ55" s="356">
        <v>43282</v>
      </c>
      <c r="CR55" s="356">
        <v>43282</v>
      </c>
      <c r="CS55" s="370" t="s">
        <v>15</v>
      </c>
      <c r="CT55" s="370"/>
      <c r="CU55" s="371">
        <v>1</v>
      </c>
      <c r="CV55" s="371">
        <v>1</v>
      </c>
      <c r="CW55" s="370">
        <v>3</v>
      </c>
      <c r="CX55" s="494">
        <f>'FPS Pivot Table'!E65</f>
        <v>28.8</v>
      </c>
      <c r="CY55" s="661">
        <f t="shared" si="15"/>
        <v>29.95</v>
      </c>
      <c r="CZ55" s="158"/>
      <c r="DA55" s="313" t="str">
        <f t="shared" si="9"/>
        <v>311</v>
      </c>
      <c r="DB55" s="356">
        <v>43282</v>
      </c>
      <c r="DC55" s="356">
        <v>43282</v>
      </c>
      <c r="DD55" s="371" t="s">
        <v>375</v>
      </c>
      <c r="DE55" s="371"/>
      <c r="DF55" s="371">
        <v>1</v>
      </c>
      <c r="DG55" s="371">
        <v>1</v>
      </c>
      <c r="DH55" s="371">
        <v>3</v>
      </c>
      <c r="DI55" s="494">
        <f>'FPS Pivot Table'!F65</f>
        <v>27.12</v>
      </c>
      <c r="DJ55" s="244"/>
      <c r="DK55" s="313" t="str">
        <f t="shared" si="40"/>
        <v>311</v>
      </c>
      <c r="DL55" s="356">
        <v>43282</v>
      </c>
      <c r="DM55" s="356">
        <v>43282</v>
      </c>
      <c r="DN55" s="371" t="s">
        <v>375</v>
      </c>
      <c r="DO55" s="371"/>
      <c r="DP55" s="371">
        <v>1</v>
      </c>
      <c r="DQ55" s="371">
        <v>1</v>
      </c>
      <c r="DR55" s="371">
        <v>3</v>
      </c>
      <c r="DS55" s="494">
        <f>'FPS Pivot Table'!G65</f>
        <v>28.2</v>
      </c>
      <c r="DT55" s="661">
        <f t="shared" si="16"/>
        <v>29.33</v>
      </c>
      <c r="DU55" s="244"/>
      <c r="DV55" s="244"/>
      <c r="DW55" s="244"/>
      <c r="DX55" s="244"/>
      <c r="DY55" s="244"/>
      <c r="DZ55" s="244"/>
      <c r="EA55" s="330"/>
      <c r="EB55" s="244"/>
      <c r="EC55" s="244"/>
      <c r="ED55" s="244"/>
      <c r="EE55" s="244"/>
      <c r="EF55" s="244"/>
      <c r="EG55" s="244"/>
      <c r="EH55" s="244"/>
      <c r="EI55" s="244"/>
      <c r="EJ55" s="244"/>
      <c r="EK55" s="244"/>
      <c r="EL55" s="244"/>
      <c r="EM55" s="244"/>
      <c r="EN55" s="244"/>
      <c r="EO55" s="244"/>
      <c r="EP55" s="42"/>
      <c r="EQ55" s="42"/>
      <c r="ER55" s="42"/>
      <c r="ES55" s="42"/>
      <c r="ET55" s="244"/>
      <c r="EU55" s="244"/>
      <c r="EV55" s="42"/>
      <c r="EW55" s="42"/>
      <c r="EX55" s="42"/>
      <c r="EY55" s="42"/>
      <c r="EZ55" s="42"/>
      <c r="FA55" s="42"/>
      <c r="FB55" s="77"/>
      <c r="FC55" s="77"/>
      <c r="FD55" s="77"/>
      <c r="FE55" s="77"/>
      <c r="FF55" s="77"/>
      <c r="FG55" s="77"/>
      <c r="FH55" s="77"/>
      <c r="FI55" s="77"/>
      <c r="FJ55" s="77"/>
      <c r="FK55" s="77"/>
      <c r="FL55" s="77"/>
      <c r="FM55" s="77"/>
      <c r="FN55" s="77"/>
      <c r="FO55" s="77"/>
      <c r="FP55" s="77"/>
      <c r="FQ55" s="77"/>
      <c r="FR55" s="77"/>
      <c r="FS55" s="77"/>
      <c r="FT55" s="77"/>
      <c r="FU55" s="77"/>
      <c r="FV55" s="77"/>
      <c r="FW55" s="77"/>
    </row>
    <row r="56" spans="1:179">
      <c r="A56" s="468" t="str">
        <f>IF(B56&lt;&gt;"",SUM($B$19:B56),"")</f>
        <v/>
      </c>
      <c r="B56" s="468" t="str">
        <f t="shared" si="33"/>
        <v/>
      </c>
      <c r="D56" s="446"/>
      <c r="E56" s="428"/>
      <c r="F56" s="133"/>
      <c r="G56" s="134"/>
      <c r="H56" s="194"/>
      <c r="I56" s="451" t="str">
        <f>IF(ISERROR((IF($D56="","",VLOOKUP(CONCATENATE($E$12,$A$12,$D56),'Waiver Rate Table'!$B$8:$S$219,6,FALSE)))),"Unavailable",(IF($D56="","",VLOOKUP(CONCATENATE($E$12,$A$12,$D56),'Waiver Rate Table'!$B$8:$S$219,6,FALSE))))</f>
        <v/>
      </c>
      <c r="J56" s="127" t="str">
        <f>IF(ISERROR((IF(I56="Unavailable","",VLOOKUP(CONCATENATE($E$12,$A$12,$D56),'Waiver Rate Table'!$B$8:$S$219,7,FALSE)))),"",(IF(I56="Unavailable","",VLOOKUP(CONCATENATE($E$12,$A$12,$D56),'Waiver Rate Table'!$B$8:$S$219,7,FALSE))))</f>
        <v/>
      </c>
      <c r="K56" s="104" t="str">
        <f>IF(ISERROR(IF(OR($I56="Unavailable",$K$32=""),"",IF(OR($J56="Upper Pay Limit",$J56="N/A"),"N/A",VLOOKUP(CONCATENATE($E$12,$A$12,$D56),'Waiver Rate Table'!$B$8:$S$219,16,FALSE)))),"",IF(OR($I56="Unavailable",$K$32=""),"",IF(OR($J56="Upper Pay Limit",$J56="N/A"),"N/A",VLOOKUP(CONCATENATE($E$12,$A$12,$D56),'Waiver Rate Table'!$B$8:$S$219,16,FALSE))))</f>
        <v/>
      </c>
      <c r="L56" s="204"/>
      <c r="M56" s="6" t="str">
        <f t="shared" si="34"/>
        <v/>
      </c>
      <c r="N56" s="28"/>
      <c r="O56" s="104" t="str">
        <f>IF(ISERROR(IF(OR($I56="Unavailable",$O$32=""),"",(IF(OR($J56="Upper Pay Limit",$J56="N/A"),"N/A",VLOOKUP(CONCATENATE($E$12,$A$12,$D56),'Waiver Rate Table'!$B$8:$S$219,17,FALSE))))),"",IF(OR($I56="Unavailable",$O$32=""),"",(IF(OR($J56="Upper Pay Limit",$J56="N/A"),"N/A",VLOOKUP(CONCATENATE($E$12,$A$12,$D56),'Waiver Rate Table'!$B$8:$S$219,17,FALSE)))))</f>
        <v/>
      </c>
      <c r="P56" s="204"/>
      <c r="Q56" s="6" t="str">
        <f t="shared" si="35"/>
        <v/>
      </c>
      <c r="R56" s="28"/>
      <c r="S56" s="610"/>
      <c r="T56" s="610"/>
      <c r="U56" s="610"/>
      <c r="V56" s="610"/>
      <c r="W56" s="610"/>
      <c r="X56" s="610"/>
      <c r="Y56" s="610"/>
      <c r="Z56" s="610"/>
      <c r="AA56" s="610"/>
      <c r="AB56" s="610"/>
      <c r="AC56" s="610"/>
      <c r="AD56" s="610"/>
      <c r="AE56" s="468" t="str">
        <f t="shared" si="36"/>
        <v>x</v>
      </c>
      <c r="AF56" s="468" t="str">
        <f>IF(ISERROR((IF(SUM(N56+R56)&gt;VLOOKUP(CONCATENATE($E$12,$A$12,$D56),'Waiver Rate Table'!$B$8:$S$182,11,FALSE),"x",""))),"",(IF(SUM(N56+R56)&gt;VLOOKUP(CONCATENATE($E$12,$A$12,$D56),'Waiver Rate Table'!$B$8:$S$182,11,FALSE),"x","")))</f>
        <v/>
      </c>
      <c r="AG56" s="32"/>
      <c r="AP56" s="570">
        <v>14</v>
      </c>
      <c r="AQ56" s="331" t="s">
        <v>185</v>
      </c>
      <c r="AR56" s="570">
        <v>14</v>
      </c>
      <c r="AS56" s="317" t="s">
        <v>131</v>
      </c>
      <c r="AT56" s="575">
        <v>14</v>
      </c>
      <c r="AU56" s="333" t="s">
        <v>258</v>
      </c>
      <c r="AV56" s="579">
        <v>14</v>
      </c>
      <c r="AW56" s="244"/>
      <c r="AX56" s="316">
        <v>51</v>
      </c>
      <c r="AY56" s="225" t="s">
        <v>3</v>
      </c>
      <c r="AZ56" s="244"/>
      <c r="BA56" s="244"/>
      <c r="BB56" s="317" t="str">
        <f t="shared" si="39"/>
        <v>627</v>
      </c>
      <c r="BC56" s="226" t="s">
        <v>13</v>
      </c>
      <c r="BD56" s="226" t="s">
        <v>14</v>
      </c>
      <c r="BE56" s="226" t="s">
        <v>26</v>
      </c>
      <c r="BF56" s="226" t="s">
        <v>30</v>
      </c>
      <c r="BG56" s="155">
        <v>25.22</v>
      </c>
      <c r="BH56" s="155">
        <v>23.63</v>
      </c>
      <c r="BI56" s="155">
        <v>18.93</v>
      </c>
      <c r="BJ56" s="227" t="s">
        <v>21</v>
      </c>
      <c r="BK56" s="226"/>
      <c r="BL56" s="317" t="str">
        <f t="shared" si="7"/>
        <v>620-22</v>
      </c>
      <c r="BM56" s="356">
        <v>43282</v>
      </c>
      <c r="BN56" s="356">
        <v>43282</v>
      </c>
      <c r="BO56" s="360" t="s">
        <v>26</v>
      </c>
      <c r="BP56" s="358" t="s">
        <v>1</v>
      </c>
      <c r="BQ56" s="400">
        <v>30.73</v>
      </c>
      <c r="BR56" s="400">
        <v>28.81</v>
      </c>
      <c r="BS56" s="400">
        <v>23.08</v>
      </c>
      <c r="BT56" s="359">
        <v>6</v>
      </c>
      <c r="BU56" s="42"/>
      <c r="BV56" s="317" t="str">
        <f t="shared" si="8"/>
        <v>620-22</v>
      </c>
      <c r="BW56" s="356">
        <v>43282</v>
      </c>
      <c r="BX56" s="356">
        <v>43282</v>
      </c>
      <c r="BY56" s="360" t="s">
        <v>26</v>
      </c>
      <c r="BZ56" s="358" t="s">
        <v>1</v>
      </c>
      <c r="CA56" s="448">
        <v>33.24</v>
      </c>
      <c r="CB56" s="448">
        <v>31.16</v>
      </c>
      <c r="CC56" s="448">
        <v>24.96</v>
      </c>
      <c r="CD56" s="359">
        <v>6</v>
      </c>
      <c r="CE56" s="226"/>
      <c r="CF56" s="313" t="str">
        <f t="shared" si="13"/>
        <v>312</v>
      </c>
      <c r="CG56" s="356">
        <v>43282</v>
      </c>
      <c r="CH56" s="356">
        <v>43282</v>
      </c>
      <c r="CI56" s="370" t="s">
        <v>15</v>
      </c>
      <c r="CJ56" s="370"/>
      <c r="CK56" s="371">
        <v>1</v>
      </c>
      <c r="CL56" s="371">
        <v>2</v>
      </c>
      <c r="CM56" s="370">
        <v>3</v>
      </c>
      <c r="CN56" s="494">
        <f>'FPS Pivot Table'!D66</f>
        <v>30.56</v>
      </c>
      <c r="CO56" s="158"/>
      <c r="CP56" s="313" t="str">
        <f t="shared" si="14"/>
        <v>312</v>
      </c>
      <c r="CQ56" s="356">
        <v>43282</v>
      </c>
      <c r="CR56" s="356">
        <v>43282</v>
      </c>
      <c r="CS56" s="370" t="s">
        <v>15</v>
      </c>
      <c r="CT56" s="370"/>
      <c r="CU56" s="371">
        <v>1</v>
      </c>
      <c r="CV56" s="371">
        <v>2</v>
      </c>
      <c r="CW56" s="370">
        <v>3</v>
      </c>
      <c r="CX56" s="494">
        <f>'FPS Pivot Table'!E66</f>
        <v>31.78</v>
      </c>
      <c r="CY56" s="661">
        <f t="shared" si="15"/>
        <v>33.049999999999997</v>
      </c>
      <c r="CZ56" s="158"/>
      <c r="DA56" s="313" t="str">
        <f t="shared" si="9"/>
        <v>312</v>
      </c>
      <c r="DB56" s="356">
        <v>43282</v>
      </c>
      <c r="DC56" s="356">
        <v>43282</v>
      </c>
      <c r="DD56" s="371" t="s">
        <v>375</v>
      </c>
      <c r="DE56" s="377"/>
      <c r="DF56" s="377">
        <v>1</v>
      </c>
      <c r="DG56" s="377">
        <v>2</v>
      </c>
      <c r="DH56" s="377">
        <v>3</v>
      </c>
      <c r="DI56" s="494">
        <f>'FPS Pivot Table'!F66</f>
        <v>29.65</v>
      </c>
      <c r="DJ56" s="244"/>
      <c r="DK56" s="313" t="str">
        <f t="shared" si="40"/>
        <v>312</v>
      </c>
      <c r="DL56" s="356">
        <v>43282</v>
      </c>
      <c r="DM56" s="356">
        <v>43282</v>
      </c>
      <c r="DN56" s="371" t="s">
        <v>375</v>
      </c>
      <c r="DO56" s="377"/>
      <c r="DP56" s="377">
        <v>1</v>
      </c>
      <c r="DQ56" s="377">
        <v>2</v>
      </c>
      <c r="DR56" s="377">
        <v>3</v>
      </c>
      <c r="DS56" s="494">
        <f>'FPS Pivot Table'!G66</f>
        <v>30.84</v>
      </c>
      <c r="DT56" s="661">
        <f t="shared" si="16"/>
        <v>32.07</v>
      </c>
      <c r="DU56" s="244"/>
      <c r="DV56" s="244"/>
      <c r="DW56" s="244"/>
      <c r="DX56" s="244"/>
      <c r="DY56" s="244"/>
      <c r="DZ56" s="244"/>
      <c r="EA56" s="330"/>
      <c r="EB56" s="244"/>
      <c r="EC56" s="244"/>
      <c r="ED56" s="244"/>
      <c r="EE56" s="244"/>
      <c r="EF56" s="244"/>
      <c r="EG56" s="244"/>
      <c r="EH56" s="244"/>
      <c r="EI56" s="244"/>
      <c r="EJ56" s="244"/>
      <c r="EK56" s="244"/>
      <c r="EL56" s="244"/>
      <c r="EM56" s="244"/>
      <c r="EN56" s="244"/>
      <c r="EO56" s="244"/>
      <c r="EP56" s="42"/>
      <c r="EQ56" s="42"/>
      <c r="ER56" s="42"/>
      <c r="ES56" s="42"/>
      <c r="ET56" s="244"/>
      <c r="EU56" s="244"/>
      <c r="EV56" s="42"/>
      <c r="EW56" s="42"/>
      <c r="EX56" s="42"/>
      <c r="EY56" s="42"/>
      <c r="EZ56" s="42"/>
      <c r="FA56" s="42"/>
      <c r="FB56" s="77"/>
      <c r="FC56" s="77"/>
      <c r="FD56" s="77"/>
      <c r="FE56" s="77"/>
      <c r="FF56" s="77"/>
      <c r="FG56" s="77"/>
      <c r="FH56" s="77"/>
      <c r="FI56" s="77"/>
      <c r="FJ56" s="77"/>
      <c r="FK56" s="77"/>
      <c r="FL56" s="77"/>
      <c r="FM56" s="77"/>
      <c r="FN56" s="77"/>
      <c r="FO56" s="77"/>
      <c r="FP56" s="77"/>
      <c r="FQ56" s="77"/>
      <c r="FR56" s="77"/>
      <c r="FS56" s="77"/>
      <c r="FT56" s="77"/>
      <c r="FU56" s="77"/>
      <c r="FV56" s="77"/>
      <c r="FW56" s="77"/>
    </row>
    <row r="57" spans="1:179">
      <c r="A57" s="468" t="str">
        <f>IF(B57&lt;&gt;"",SUM($B$19:B57),"")</f>
        <v/>
      </c>
      <c r="B57" s="468" t="str">
        <f t="shared" si="33"/>
        <v/>
      </c>
      <c r="D57" s="446"/>
      <c r="E57" s="428"/>
      <c r="F57" s="133"/>
      <c r="G57" s="134"/>
      <c r="H57" s="194"/>
      <c r="I57" s="451" t="str">
        <f>IF(ISERROR((IF($D57="","",VLOOKUP(CONCATENATE($E$12,$A$12,$D57),'Waiver Rate Table'!$B$8:$S$219,6,FALSE)))),"Unavailable",(IF($D57="","",VLOOKUP(CONCATENATE($E$12,$A$12,$D57),'Waiver Rate Table'!$B$8:$S$219,6,FALSE))))</f>
        <v/>
      </c>
      <c r="J57" s="127" t="str">
        <f>IF(ISERROR((IF(I57="Unavailable","",VLOOKUP(CONCATENATE($E$12,$A$12,$D57),'Waiver Rate Table'!$B$8:$S$219,7,FALSE)))),"",(IF(I57="Unavailable","",VLOOKUP(CONCATENATE($E$12,$A$12,$D57),'Waiver Rate Table'!$B$8:$S$219,7,FALSE))))</f>
        <v/>
      </c>
      <c r="K57" s="104" t="str">
        <f>IF(ISERROR(IF(OR($I57="Unavailable",$K$32=""),"",IF(OR($J57="Upper Pay Limit",$J57="N/A"),"N/A",VLOOKUP(CONCATENATE($E$12,$A$12,$D57),'Waiver Rate Table'!$B$8:$S$219,16,FALSE)))),"",IF(OR($I57="Unavailable",$K$32=""),"",IF(OR($J57="Upper Pay Limit",$J57="N/A"),"N/A",VLOOKUP(CONCATENATE($E$12,$A$12,$D57),'Waiver Rate Table'!$B$8:$S$219,16,FALSE))))</f>
        <v/>
      </c>
      <c r="L57" s="204"/>
      <c r="M57" s="6" t="str">
        <f t="shared" si="34"/>
        <v/>
      </c>
      <c r="N57" s="28"/>
      <c r="O57" s="104" t="str">
        <f>IF(ISERROR(IF(OR($I57="Unavailable",$O$32=""),"",(IF(OR($J57="Upper Pay Limit",$J57="N/A"),"N/A",VLOOKUP(CONCATENATE($E$12,$A$12,$D57),'Waiver Rate Table'!$B$8:$S$219,17,FALSE))))),"",IF(OR($I57="Unavailable",$O$32=""),"",(IF(OR($J57="Upper Pay Limit",$J57="N/A"),"N/A",VLOOKUP(CONCATENATE($E$12,$A$12,$D57),'Waiver Rate Table'!$B$8:$S$219,17,FALSE)))))</f>
        <v/>
      </c>
      <c r="P57" s="204"/>
      <c r="Q57" s="6" t="str">
        <f t="shared" si="35"/>
        <v/>
      </c>
      <c r="R57" s="28"/>
      <c r="S57" s="610"/>
      <c r="T57" s="610"/>
      <c r="U57" s="610"/>
      <c r="V57" s="610"/>
      <c r="W57" s="610"/>
      <c r="X57" s="610"/>
      <c r="Y57" s="610"/>
      <c r="Z57" s="610"/>
      <c r="AA57" s="610"/>
      <c r="AB57" s="610"/>
      <c r="AC57" s="610"/>
      <c r="AD57" s="610"/>
      <c r="AE57" s="468" t="str">
        <f t="shared" si="36"/>
        <v>x</v>
      </c>
      <c r="AF57" s="468" t="str">
        <f>IF(ISERROR((IF(SUM(N57+R57)&gt;VLOOKUP(CONCATENATE($E$12,$A$12,$D57),'Waiver Rate Table'!$B$8:$S$182,11,FALSE),"x",""))),"",(IF(SUM(N57+R57)&gt;VLOOKUP(CONCATENATE($E$12,$A$12,$D57),'Waiver Rate Table'!$B$8:$S$182,11,FALSE),"x","")))</f>
        <v/>
      </c>
      <c r="AG57" s="32"/>
      <c r="AP57" s="570">
        <v>15</v>
      </c>
      <c r="AQ57" s="331" t="s">
        <v>186</v>
      </c>
      <c r="AR57" s="570">
        <v>15</v>
      </c>
      <c r="AS57" s="317" t="s">
        <v>131</v>
      </c>
      <c r="AT57" s="575">
        <v>15</v>
      </c>
      <c r="AU57" s="333" t="s">
        <v>259</v>
      </c>
      <c r="AV57" s="579">
        <v>15</v>
      </c>
      <c r="AW57" s="244"/>
      <c r="AX57" s="316">
        <v>52</v>
      </c>
      <c r="AY57" s="225" t="s">
        <v>3</v>
      </c>
      <c r="AZ57" s="244"/>
      <c r="BA57" s="244"/>
      <c r="BB57" s="317" t="str">
        <f t="shared" si="39"/>
        <v>628-82</v>
      </c>
      <c r="BC57" s="226" t="s">
        <v>13</v>
      </c>
      <c r="BD57" s="226" t="s">
        <v>14</v>
      </c>
      <c r="BE57" s="226" t="s">
        <v>26</v>
      </c>
      <c r="BF57" s="226" t="s">
        <v>3</v>
      </c>
      <c r="BG57" s="155">
        <v>24.85</v>
      </c>
      <c r="BH57" s="155">
        <v>23.29</v>
      </c>
      <c r="BI57" s="155">
        <v>18.670000000000002</v>
      </c>
      <c r="BJ57" s="227" t="s">
        <v>21</v>
      </c>
      <c r="BK57" s="226"/>
      <c r="BL57" s="317" t="str">
        <f t="shared" si="7"/>
        <v>61-19</v>
      </c>
      <c r="BM57" s="356">
        <v>43282</v>
      </c>
      <c r="BN57" s="356">
        <v>43282</v>
      </c>
      <c r="BO57" s="360" t="s">
        <v>26</v>
      </c>
      <c r="BP57" s="358" t="s">
        <v>0</v>
      </c>
      <c r="BQ57" s="400">
        <v>32.14</v>
      </c>
      <c r="BR57" s="400">
        <v>29.9</v>
      </c>
      <c r="BS57" s="400">
        <v>23.96</v>
      </c>
      <c r="BT57" s="359">
        <v>6</v>
      </c>
      <c r="BU57" s="42"/>
      <c r="BV57" s="317" t="str">
        <f t="shared" si="8"/>
        <v>61-19</v>
      </c>
      <c r="BW57" s="356">
        <v>43282</v>
      </c>
      <c r="BX57" s="356">
        <v>43282</v>
      </c>
      <c r="BY57" s="360" t="s">
        <v>26</v>
      </c>
      <c r="BZ57" s="358" t="s">
        <v>0</v>
      </c>
      <c r="CA57" s="448">
        <v>34.770000000000003</v>
      </c>
      <c r="CB57" s="448">
        <v>32.340000000000003</v>
      </c>
      <c r="CC57" s="448">
        <v>25.92</v>
      </c>
      <c r="CD57" s="359">
        <v>6</v>
      </c>
      <c r="CE57" s="226"/>
      <c r="CF57" s="313" t="str">
        <f t="shared" si="13"/>
        <v>313</v>
      </c>
      <c r="CG57" s="356">
        <v>43282</v>
      </c>
      <c r="CH57" s="356">
        <v>43282</v>
      </c>
      <c r="CI57" s="370" t="s">
        <v>15</v>
      </c>
      <c r="CJ57" s="370"/>
      <c r="CK57" s="371">
        <v>1</v>
      </c>
      <c r="CL57" s="371">
        <v>3</v>
      </c>
      <c r="CM57" s="370">
        <v>3</v>
      </c>
      <c r="CN57" s="494">
        <f>'FPS Pivot Table'!D67</f>
        <v>35.229999999999997</v>
      </c>
      <c r="CO57" s="158"/>
      <c r="CP57" s="313" t="str">
        <f t="shared" si="14"/>
        <v>313</v>
      </c>
      <c r="CQ57" s="356">
        <v>43282</v>
      </c>
      <c r="CR57" s="356">
        <v>43282</v>
      </c>
      <c r="CS57" s="370" t="s">
        <v>15</v>
      </c>
      <c r="CT57" s="370"/>
      <c r="CU57" s="371">
        <v>1</v>
      </c>
      <c r="CV57" s="371">
        <v>3</v>
      </c>
      <c r="CW57" s="370">
        <v>3</v>
      </c>
      <c r="CX57" s="494">
        <f>'FPS Pivot Table'!E67</f>
        <v>36.64</v>
      </c>
      <c r="CY57" s="661">
        <f t="shared" si="15"/>
        <v>38.11</v>
      </c>
      <c r="CZ57" s="158"/>
      <c r="DA57" s="313" t="str">
        <f t="shared" si="9"/>
        <v>313</v>
      </c>
      <c r="DB57" s="356">
        <v>43282</v>
      </c>
      <c r="DC57" s="356">
        <v>43282</v>
      </c>
      <c r="DD57" s="371" t="s">
        <v>375</v>
      </c>
      <c r="DE57" s="377"/>
      <c r="DF57" s="377">
        <v>1</v>
      </c>
      <c r="DG57" s="377">
        <v>3</v>
      </c>
      <c r="DH57" s="377">
        <v>3</v>
      </c>
      <c r="DI57" s="494">
        <f>'FPS Pivot Table'!F67</f>
        <v>33.76</v>
      </c>
      <c r="DJ57" s="244"/>
      <c r="DK57" s="313" t="str">
        <f t="shared" si="40"/>
        <v>313</v>
      </c>
      <c r="DL57" s="356">
        <v>43282</v>
      </c>
      <c r="DM57" s="356">
        <v>43282</v>
      </c>
      <c r="DN57" s="371" t="s">
        <v>375</v>
      </c>
      <c r="DO57" s="377"/>
      <c r="DP57" s="377">
        <v>1</v>
      </c>
      <c r="DQ57" s="377">
        <v>3</v>
      </c>
      <c r="DR57" s="377">
        <v>3</v>
      </c>
      <c r="DS57" s="494">
        <f>'FPS Pivot Table'!G67</f>
        <v>35.11</v>
      </c>
      <c r="DT57" s="661">
        <f t="shared" si="16"/>
        <v>36.51</v>
      </c>
      <c r="DU57" s="244"/>
      <c r="DV57" s="244"/>
      <c r="DW57" s="244"/>
      <c r="DX57" s="244"/>
      <c r="DY57" s="244"/>
      <c r="DZ57" s="244"/>
      <c r="EA57" s="330"/>
      <c r="EB57" s="244"/>
      <c r="EC57" s="244"/>
      <c r="ED57" s="244"/>
      <c r="EE57" s="244"/>
      <c r="EF57" s="244"/>
      <c r="EG57" s="244"/>
      <c r="EH57" s="244"/>
      <c r="EI57" s="244"/>
      <c r="EJ57" s="244"/>
      <c r="EK57" s="244"/>
      <c r="EL57" s="244"/>
      <c r="EM57" s="244"/>
      <c r="EN57" s="244"/>
      <c r="EO57" s="244"/>
      <c r="EP57" s="42"/>
      <c r="EQ57" s="42"/>
      <c r="ER57" s="42"/>
      <c r="ES57" s="42"/>
      <c r="ET57" s="244"/>
      <c r="EU57" s="244"/>
      <c r="EV57" s="42"/>
      <c r="EW57" s="42"/>
      <c r="EX57" s="42"/>
      <c r="EY57" s="42"/>
      <c r="EZ57" s="42"/>
      <c r="FA57" s="42"/>
      <c r="FB57" s="77"/>
      <c r="FC57" s="77"/>
      <c r="FD57" s="77"/>
      <c r="FE57" s="77"/>
      <c r="FF57" s="77"/>
      <c r="FG57" s="77"/>
      <c r="FH57" s="77"/>
      <c r="FI57" s="77"/>
      <c r="FJ57" s="77"/>
      <c r="FK57" s="77"/>
      <c r="FL57" s="77"/>
      <c r="FM57" s="77"/>
      <c r="FN57" s="77"/>
      <c r="FO57" s="77"/>
      <c r="FP57" s="77"/>
      <c r="FQ57" s="77"/>
      <c r="FR57" s="77"/>
      <c r="FS57" s="77"/>
      <c r="FT57" s="77"/>
      <c r="FU57" s="77"/>
      <c r="FV57" s="77"/>
      <c r="FW57" s="77"/>
    </row>
    <row r="58" spans="1:179" ht="15" thickBot="1">
      <c r="A58" s="468" t="str">
        <f>IF(B58&lt;&gt;"",SUM($B$19:B58),"")</f>
        <v/>
      </c>
      <c r="B58" s="468" t="str">
        <f t="shared" si="33"/>
        <v/>
      </c>
      <c r="D58" s="446"/>
      <c r="E58" s="428"/>
      <c r="F58" s="133"/>
      <c r="G58" s="134"/>
      <c r="H58" s="194"/>
      <c r="I58" s="451" t="str">
        <f>IF(ISERROR((IF($D58="","",VLOOKUP(CONCATENATE($E$12,$A$12,$D58),'Waiver Rate Table'!$B$8:$S$219,6,FALSE)))),"Unavailable",(IF($D58="","",VLOOKUP(CONCATENATE($E$12,$A$12,$D58),'Waiver Rate Table'!$B$8:$S$219,6,FALSE))))</f>
        <v/>
      </c>
      <c r="J58" s="127" t="str">
        <f>IF(ISERROR((IF(I58="Unavailable","",VLOOKUP(CONCATENATE($E$12,$A$12,$D58),'Waiver Rate Table'!$B$8:$S$219,7,FALSE)))),"",(IF(I58="Unavailable","",VLOOKUP(CONCATENATE($E$12,$A$12,$D58),'Waiver Rate Table'!$B$8:$S$219,7,FALSE))))</f>
        <v/>
      </c>
      <c r="K58" s="104" t="str">
        <f>IF(ISERROR(IF(OR($I58="Unavailable",$K$32=""),"",IF(OR($J58="Upper Pay Limit",$J58="N/A"),"N/A",VLOOKUP(CONCATENATE($E$12,$A$12,$D58),'Waiver Rate Table'!$B$8:$S$219,16,FALSE)))),"",IF(OR($I58="Unavailable",$K$32=""),"",IF(OR($J58="Upper Pay Limit",$J58="N/A"),"N/A",VLOOKUP(CONCATENATE($E$12,$A$12,$D58),'Waiver Rate Table'!$B$8:$S$219,16,FALSE))))</f>
        <v/>
      </c>
      <c r="L58" s="204"/>
      <c r="M58" s="6" t="str">
        <f t="shared" si="34"/>
        <v/>
      </c>
      <c r="N58" s="28"/>
      <c r="O58" s="104" t="str">
        <f>IF(ISERROR(IF(OR($I58="Unavailable",$O$32=""),"",(IF(OR($J58="Upper Pay Limit",$J58="N/A"),"N/A",VLOOKUP(CONCATENATE($E$12,$A$12,$D58),'Waiver Rate Table'!$B$8:$S$219,17,FALSE))))),"",IF(OR($I58="Unavailable",$O$32=""),"",(IF(OR($J58="Upper Pay Limit",$J58="N/A"),"N/A",VLOOKUP(CONCATENATE($E$12,$A$12,$D58),'Waiver Rate Table'!$B$8:$S$219,17,FALSE)))))</f>
        <v/>
      </c>
      <c r="P58" s="204"/>
      <c r="Q58" s="6" t="str">
        <f t="shared" si="35"/>
        <v/>
      </c>
      <c r="R58" s="28"/>
      <c r="S58" s="610"/>
      <c r="T58" s="610"/>
      <c r="U58" s="610"/>
      <c r="V58" s="610"/>
      <c r="W58" s="610"/>
      <c r="X58" s="610"/>
      <c r="Y58" s="610"/>
      <c r="Z58" s="610"/>
      <c r="AA58" s="610"/>
      <c r="AB58" s="610"/>
      <c r="AC58" s="610"/>
      <c r="AD58" s="610"/>
      <c r="AE58" s="468" t="str">
        <f t="shared" si="36"/>
        <v>x</v>
      </c>
      <c r="AF58" s="468" t="str">
        <f>IF(ISERROR((IF(SUM(N58+R58)&gt;VLOOKUP(CONCATENATE($E$12,$A$12,$D58),'Waiver Rate Table'!$B$8:$S$182,11,FALSE),"x",""))),"",(IF(SUM(N58+R58)&gt;VLOOKUP(CONCATENATE($E$12,$A$12,$D58),'Waiver Rate Table'!$B$8:$S$182,11,FALSE),"x","")))</f>
        <v/>
      </c>
      <c r="AG58" s="32"/>
      <c r="AP58" s="570">
        <v>16</v>
      </c>
      <c r="AQ58" s="331" t="s">
        <v>187</v>
      </c>
      <c r="AR58" s="570">
        <v>16</v>
      </c>
      <c r="AS58" s="317" t="s">
        <v>131</v>
      </c>
      <c r="AT58" s="575">
        <v>16</v>
      </c>
      <c r="AU58" s="333" t="s">
        <v>260</v>
      </c>
      <c r="AV58" s="579">
        <v>16</v>
      </c>
      <c r="AW58" s="42"/>
      <c r="AX58" s="314">
        <v>53</v>
      </c>
      <c r="AY58" s="166" t="s">
        <v>3</v>
      </c>
      <c r="AZ58" s="42"/>
      <c r="BA58" s="42"/>
      <c r="BB58" s="334" t="str">
        <f t="shared" si="39"/>
        <v>683-168</v>
      </c>
      <c r="BC58" s="174" t="s">
        <v>13</v>
      </c>
      <c r="BD58" s="174" t="s">
        <v>14</v>
      </c>
      <c r="BE58" s="174" t="s">
        <v>26</v>
      </c>
      <c r="BF58" s="174" t="s">
        <v>4</v>
      </c>
      <c r="BG58" s="175">
        <v>18.670000000000002</v>
      </c>
      <c r="BH58" s="175">
        <v>18.670000000000002</v>
      </c>
      <c r="BI58" s="175">
        <v>18.670000000000002</v>
      </c>
      <c r="BJ58" s="176" t="s">
        <v>21</v>
      </c>
      <c r="BK58" s="154"/>
      <c r="BL58" s="334" t="str">
        <f t="shared" si="7"/>
        <v>60</v>
      </c>
      <c r="BM58" s="361">
        <v>43282</v>
      </c>
      <c r="BN58" s="361">
        <v>43282</v>
      </c>
      <c r="BO58" s="362" t="s">
        <v>26</v>
      </c>
      <c r="BP58" s="363" t="s">
        <v>27</v>
      </c>
      <c r="BQ58" s="362">
        <v>0</v>
      </c>
      <c r="BR58" s="362">
        <v>0</v>
      </c>
      <c r="BS58" s="362">
        <v>0</v>
      </c>
      <c r="BT58" s="364">
        <v>6</v>
      </c>
      <c r="BU58" s="42"/>
      <c r="BV58" s="334" t="str">
        <f t="shared" si="8"/>
        <v>60</v>
      </c>
      <c r="BW58" s="361">
        <v>43282</v>
      </c>
      <c r="BX58" s="361">
        <v>43282</v>
      </c>
      <c r="BY58" s="362" t="s">
        <v>26</v>
      </c>
      <c r="BZ58" s="363" t="s">
        <v>27</v>
      </c>
      <c r="CA58" s="362">
        <v>0</v>
      </c>
      <c r="CB58" s="362">
        <v>0</v>
      </c>
      <c r="CC58" s="362">
        <v>0</v>
      </c>
      <c r="CD58" s="364">
        <v>6</v>
      </c>
      <c r="CE58" s="154"/>
      <c r="CF58" s="313" t="str">
        <f t="shared" si="13"/>
        <v>314</v>
      </c>
      <c r="CG58" s="356">
        <v>43282</v>
      </c>
      <c r="CH58" s="356">
        <v>43282</v>
      </c>
      <c r="CI58" s="370" t="s">
        <v>15</v>
      </c>
      <c r="CJ58" s="370"/>
      <c r="CK58" s="371">
        <v>1</v>
      </c>
      <c r="CL58" s="371">
        <v>4</v>
      </c>
      <c r="CM58" s="370">
        <v>3</v>
      </c>
      <c r="CN58" s="494">
        <f>'FPS Pivot Table'!D68</f>
        <v>41.56</v>
      </c>
      <c r="CO58" s="158"/>
      <c r="CP58" s="313" t="str">
        <f t="shared" si="14"/>
        <v>314</v>
      </c>
      <c r="CQ58" s="356">
        <v>43282</v>
      </c>
      <c r="CR58" s="356">
        <v>43282</v>
      </c>
      <c r="CS58" s="370" t="s">
        <v>15</v>
      </c>
      <c r="CT58" s="370"/>
      <c r="CU58" s="371">
        <v>1</v>
      </c>
      <c r="CV58" s="371">
        <v>4</v>
      </c>
      <c r="CW58" s="370">
        <v>3</v>
      </c>
      <c r="CX58" s="494">
        <f>'FPS Pivot Table'!E68</f>
        <v>43.22</v>
      </c>
      <c r="CY58" s="661">
        <f t="shared" si="15"/>
        <v>44.95</v>
      </c>
      <c r="CZ58" s="158"/>
      <c r="DA58" s="313" t="str">
        <f t="shared" si="9"/>
        <v>314</v>
      </c>
      <c r="DB58" s="356">
        <v>43282</v>
      </c>
      <c r="DC58" s="356">
        <v>43282</v>
      </c>
      <c r="DD58" s="371" t="s">
        <v>375</v>
      </c>
      <c r="DE58" s="377"/>
      <c r="DF58" s="377">
        <v>1</v>
      </c>
      <c r="DG58" s="377">
        <v>4</v>
      </c>
      <c r="DH58" s="377">
        <v>3</v>
      </c>
      <c r="DI58" s="494">
        <f>'FPS Pivot Table'!F68</f>
        <v>39.299999999999997</v>
      </c>
      <c r="DJ58" s="42"/>
      <c r="DK58" s="313" t="str">
        <f t="shared" si="40"/>
        <v>314</v>
      </c>
      <c r="DL58" s="356">
        <v>43282</v>
      </c>
      <c r="DM58" s="356">
        <v>43282</v>
      </c>
      <c r="DN58" s="371" t="s">
        <v>375</v>
      </c>
      <c r="DO58" s="377"/>
      <c r="DP58" s="377">
        <v>1</v>
      </c>
      <c r="DQ58" s="377">
        <v>4</v>
      </c>
      <c r="DR58" s="377">
        <v>3</v>
      </c>
      <c r="DS58" s="494">
        <f>'FPS Pivot Table'!G68</f>
        <v>40.869999999999997</v>
      </c>
      <c r="DT58" s="661">
        <f t="shared" si="16"/>
        <v>42.5</v>
      </c>
      <c r="DU58" s="42"/>
      <c r="DV58" s="42"/>
      <c r="DW58" s="42"/>
      <c r="DX58" s="42"/>
      <c r="DY58" s="42"/>
      <c r="DZ58" s="42"/>
      <c r="EA58" s="335"/>
      <c r="EB58" s="42"/>
      <c r="EC58" s="42"/>
      <c r="ED58" s="42"/>
      <c r="EE58" s="42"/>
      <c r="EF58" s="42"/>
      <c r="EG58" s="42"/>
      <c r="EH58" s="42"/>
      <c r="EI58" s="42"/>
      <c r="EJ58" s="42"/>
      <c r="EK58" s="42"/>
      <c r="EL58" s="42"/>
      <c r="EM58" s="42"/>
      <c r="EN58" s="42"/>
      <c r="EO58" s="42"/>
      <c r="EP58" s="42"/>
      <c r="EQ58" s="42"/>
      <c r="ER58" s="42"/>
      <c r="ES58" s="42"/>
      <c r="ET58" s="42"/>
      <c r="EU58" s="42"/>
      <c r="EV58" s="42"/>
      <c r="EW58" s="42"/>
      <c r="EX58" s="42"/>
      <c r="EY58" s="42"/>
      <c r="EZ58" s="42"/>
      <c r="FA58" s="42"/>
    </row>
    <row r="59" spans="1:179" ht="15" thickBot="1">
      <c r="A59" s="468" t="str">
        <f>IF(B59&lt;&gt;"",SUM($B$19:B59),"")</f>
        <v/>
      </c>
      <c r="B59" s="468" t="str">
        <f t="shared" si="33"/>
        <v/>
      </c>
      <c r="D59" s="447"/>
      <c r="E59" s="429"/>
      <c r="F59" s="135"/>
      <c r="G59" s="136"/>
      <c r="H59" s="195"/>
      <c r="I59" s="452" t="str">
        <f>IF(ISERROR((IF($D59="","",VLOOKUP(CONCATENATE($E$12,$A$12,$D59),'Waiver Rate Table'!$B$8:$S$219,6,FALSE)))),"Unavailable",(IF($D59="","",VLOOKUP(CONCATENATE($E$12,$A$12,$D59),'Waiver Rate Table'!$B$8:$S$219,6,FALSE))))</f>
        <v/>
      </c>
      <c r="J59" s="128" t="str">
        <f>IF(ISERROR((IF(I59="Unavailable","",VLOOKUP(CONCATENATE($E$12,$A$12,$D59),'Waiver Rate Table'!$B$8:$S$219,7,FALSE)))),"",(IF(I59="Unavailable","",VLOOKUP(CONCATENATE($E$12,$A$12,$D59),'Waiver Rate Table'!$B$8:$S$219,7,FALSE))))</f>
        <v/>
      </c>
      <c r="K59" s="104" t="str">
        <f>IF(ISERROR(IF(OR($I59="Unavailable",$K$32=""),"",IF(OR($J59="Upper Pay Limit",$J59="N/A"),"N/A",VLOOKUP(CONCATENATE($E$12,$A$12,$D59),'Waiver Rate Table'!$B$8:$S$219,16,FALSE)))),"",IF(OR($I59="Unavailable",$K$32=""),"",IF(OR($J59="Upper Pay Limit",$J59="N/A"),"N/A",VLOOKUP(CONCATENATE($E$12,$A$12,$D59),'Waiver Rate Table'!$B$8:$S$219,16,FALSE))))</f>
        <v/>
      </c>
      <c r="L59" s="282"/>
      <c r="M59" s="196" t="str">
        <f t="shared" si="34"/>
        <v/>
      </c>
      <c r="N59" s="203"/>
      <c r="O59" s="104" t="str">
        <f>IF(ISERROR(IF(OR($I59="Unavailable",$O$32=""),"",(IF(OR($J59="Upper Pay Limit",$J59="N/A"),"N/A",VLOOKUP(CONCATENATE($E$12,$A$12,$D59),'Waiver Rate Table'!$B$8:$S$219,17,FALSE))))),"",IF(OR($I59="Unavailable",$O$32=""),"",(IF(OR($J59="Upper Pay Limit",$J59="N/A"),"N/A",VLOOKUP(CONCATENATE($E$12,$A$12,$D59),'Waiver Rate Table'!$B$8:$S$219,17,FALSE)))))</f>
        <v/>
      </c>
      <c r="P59" s="204"/>
      <c r="Q59" s="6" t="str">
        <f t="shared" si="35"/>
        <v/>
      </c>
      <c r="R59" s="203"/>
      <c r="S59" s="610"/>
      <c r="T59" s="610"/>
      <c r="U59" s="610"/>
      <c r="V59" s="610"/>
      <c r="W59" s="610"/>
      <c r="X59" s="610"/>
      <c r="Y59" s="610"/>
      <c r="Z59" s="610"/>
      <c r="AA59" s="610"/>
      <c r="AB59" s="610"/>
      <c r="AC59" s="610"/>
      <c r="AD59" s="610"/>
      <c r="AE59" s="468" t="str">
        <f t="shared" si="36"/>
        <v>x</v>
      </c>
      <c r="AF59" s="468" t="str">
        <f>IF(ISERROR((IF(SUM(N59+R59)&gt;VLOOKUP(CONCATENATE($E$12,$A$12,$D59),'Waiver Rate Table'!$B$8:$S$182,11,FALSE),"x",""))),"",(IF(SUM(N59+R59)&gt;VLOOKUP(CONCATENATE($E$12,$A$12,$D59),'Waiver Rate Table'!$B$8:$S$182,11,FALSE),"x","")))</f>
        <v/>
      </c>
      <c r="AG59" s="32"/>
      <c r="AP59" s="570">
        <v>17</v>
      </c>
      <c r="AQ59" s="331" t="s">
        <v>188</v>
      </c>
      <c r="AR59" s="570">
        <v>17</v>
      </c>
      <c r="AS59" s="317" t="s">
        <v>131</v>
      </c>
      <c r="AT59" s="575">
        <v>17</v>
      </c>
      <c r="AU59" s="333" t="s">
        <v>261</v>
      </c>
      <c r="AV59" s="579">
        <v>17</v>
      </c>
      <c r="AW59" s="42"/>
      <c r="AX59" s="314">
        <v>54</v>
      </c>
      <c r="AY59" s="166" t="s">
        <v>3</v>
      </c>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313" t="str">
        <f t="shared" si="13"/>
        <v>315</v>
      </c>
      <c r="CG59" s="356">
        <v>43282</v>
      </c>
      <c r="CH59" s="356">
        <v>43282</v>
      </c>
      <c r="CI59" s="370" t="s">
        <v>15</v>
      </c>
      <c r="CJ59" s="370"/>
      <c r="CK59" s="371">
        <v>1</v>
      </c>
      <c r="CL59" s="371">
        <v>5</v>
      </c>
      <c r="CM59" s="370">
        <v>3</v>
      </c>
      <c r="CN59" s="494">
        <f>'FPS Pivot Table'!D69</f>
        <v>47.1</v>
      </c>
      <c r="CO59" s="158"/>
      <c r="CP59" s="313" t="str">
        <f t="shared" si="14"/>
        <v>315</v>
      </c>
      <c r="CQ59" s="356">
        <v>43282</v>
      </c>
      <c r="CR59" s="356">
        <v>43282</v>
      </c>
      <c r="CS59" s="370" t="s">
        <v>15</v>
      </c>
      <c r="CT59" s="370"/>
      <c r="CU59" s="371">
        <v>1</v>
      </c>
      <c r="CV59" s="371">
        <v>5</v>
      </c>
      <c r="CW59" s="370">
        <v>3</v>
      </c>
      <c r="CX59" s="494">
        <f>'FPS Pivot Table'!E69</f>
        <v>48.98</v>
      </c>
      <c r="CY59" s="661">
        <f t="shared" si="15"/>
        <v>50.94</v>
      </c>
      <c r="CZ59" s="158"/>
      <c r="DA59" s="313" t="str">
        <f t="shared" si="9"/>
        <v>315</v>
      </c>
      <c r="DB59" s="356">
        <v>43282</v>
      </c>
      <c r="DC59" s="356">
        <v>43282</v>
      </c>
      <c r="DD59" s="371" t="s">
        <v>375</v>
      </c>
      <c r="DE59" s="377"/>
      <c r="DF59" s="377">
        <v>1</v>
      </c>
      <c r="DG59" s="377">
        <v>5</v>
      </c>
      <c r="DH59" s="377">
        <v>3</v>
      </c>
      <c r="DI59" s="494">
        <f>'FPS Pivot Table'!F69</f>
        <v>44.14</v>
      </c>
      <c r="DJ59" s="42"/>
      <c r="DK59" s="313" t="str">
        <f t="shared" si="40"/>
        <v>315</v>
      </c>
      <c r="DL59" s="356">
        <v>43282</v>
      </c>
      <c r="DM59" s="356">
        <v>43282</v>
      </c>
      <c r="DN59" s="371" t="s">
        <v>375</v>
      </c>
      <c r="DO59" s="377"/>
      <c r="DP59" s="377">
        <v>1</v>
      </c>
      <c r="DQ59" s="377">
        <v>5</v>
      </c>
      <c r="DR59" s="377">
        <v>3</v>
      </c>
      <c r="DS59" s="494">
        <f>'FPS Pivot Table'!G69</f>
        <v>45.91</v>
      </c>
      <c r="DT59" s="661">
        <f t="shared" si="16"/>
        <v>47.75</v>
      </c>
      <c r="DU59" s="42"/>
      <c r="DV59" s="42"/>
      <c r="DW59" s="42"/>
      <c r="DX59" s="42"/>
      <c r="DY59" s="42"/>
      <c r="DZ59" s="42"/>
      <c r="EA59" s="335"/>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row>
    <row r="60" spans="1:179" ht="15" thickBot="1">
      <c r="D60" s="193" t="s">
        <v>396</v>
      </c>
      <c r="K60" s="418" t="s">
        <v>150</v>
      </c>
      <c r="L60" s="105"/>
      <c r="M60" s="19"/>
      <c r="N60" s="222">
        <f>SUM(M34:N59)</f>
        <v>0</v>
      </c>
      <c r="O60" s="418" t="s">
        <v>150</v>
      </c>
      <c r="P60" s="129"/>
      <c r="Q60" s="547"/>
      <c r="R60" s="222">
        <f>SUM(Q34:R59)</f>
        <v>0</v>
      </c>
      <c r="S60" s="21"/>
      <c r="T60" s="21"/>
      <c r="U60" s="21"/>
      <c r="V60" s="21"/>
      <c r="W60" s="21"/>
      <c r="X60" s="21"/>
      <c r="Y60" s="21"/>
      <c r="Z60" s="21"/>
      <c r="AA60" s="21"/>
      <c r="AB60" s="21"/>
      <c r="AC60" s="21"/>
      <c r="AD60" s="21"/>
      <c r="AP60" s="570">
        <v>18</v>
      </c>
      <c r="AQ60" s="331" t="s">
        <v>189</v>
      </c>
      <c r="AR60" s="570">
        <v>18</v>
      </c>
      <c r="AS60" s="317" t="s">
        <v>131</v>
      </c>
      <c r="AT60" s="575">
        <v>18</v>
      </c>
      <c r="AU60" s="333" t="s">
        <v>262</v>
      </c>
      <c r="AV60" s="579">
        <v>18</v>
      </c>
      <c r="AW60" s="42"/>
      <c r="AX60" s="314">
        <v>55</v>
      </c>
      <c r="AY60" s="166" t="s">
        <v>3</v>
      </c>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313" t="str">
        <f t="shared" si="13"/>
        <v>321</v>
      </c>
      <c r="CG60" s="356">
        <v>43282</v>
      </c>
      <c r="CH60" s="356">
        <v>43282</v>
      </c>
      <c r="CI60" s="370" t="s">
        <v>15</v>
      </c>
      <c r="CJ60" s="370"/>
      <c r="CK60" s="371">
        <v>2</v>
      </c>
      <c r="CL60" s="371">
        <v>1</v>
      </c>
      <c r="CM60" s="370">
        <v>3</v>
      </c>
      <c r="CN60" s="494">
        <f>'FPS Pivot Table'!D70</f>
        <v>33.090000000000003</v>
      </c>
      <c r="CO60" s="158"/>
      <c r="CP60" s="313" t="str">
        <f t="shared" si="14"/>
        <v>321</v>
      </c>
      <c r="CQ60" s="356">
        <v>43282</v>
      </c>
      <c r="CR60" s="356">
        <v>43282</v>
      </c>
      <c r="CS60" s="370" t="s">
        <v>15</v>
      </c>
      <c r="CT60" s="370"/>
      <c r="CU60" s="371">
        <v>2</v>
      </c>
      <c r="CV60" s="371">
        <v>1</v>
      </c>
      <c r="CW60" s="370">
        <v>3</v>
      </c>
      <c r="CX60" s="494">
        <f>'FPS Pivot Table'!E70</f>
        <v>34.409999999999997</v>
      </c>
      <c r="CY60" s="661">
        <f t="shared" si="15"/>
        <v>35.79</v>
      </c>
      <c r="CZ60" s="158"/>
      <c r="DA60" s="313" t="str">
        <f t="shared" si="9"/>
        <v>321</v>
      </c>
      <c r="DB60" s="356">
        <v>43282</v>
      </c>
      <c r="DC60" s="356">
        <v>43282</v>
      </c>
      <c r="DD60" s="371" t="s">
        <v>375</v>
      </c>
      <c r="DE60" s="377"/>
      <c r="DF60" s="377">
        <v>2</v>
      </c>
      <c r="DG60" s="377">
        <v>1</v>
      </c>
      <c r="DH60" s="377">
        <v>3</v>
      </c>
      <c r="DI60" s="494">
        <f>'FPS Pivot Table'!F70</f>
        <v>48.54</v>
      </c>
      <c r="DJ60" s="42"/>
      <c r="DK60" s="313" t="str">
        <f t="shared" si="40"/>
        <v>321</v>
      </c>
      <c r="DL60" s="356">
        <v>43282</v>
      </c>
      <c r="DM60" s="356">
        <v>43282</v>
      </c>
      <c r="DN60" s="371" t="s">
        <v>375</v>
      </c>
      <c r="DO60" s="377"/>
      <c r="DP60" s="377">
        <v>2</v>
      </c>
      <c r="DQ60" s="377">
        <v>1</v>
      </c>
      <c r="DR60" s="377">
        <v>3</v>
      </c>
      <c r="DS60" s="494">
        <f>'FPS Pivot Table'!G70</f>
        <v>50.48</v>
      </c>
      <c r="DT60" s="661">
        <f t="shared" si="16"/>
        <v>52.5</v>
      </c>
      <c r="DU60" s="42"/>
      <c r="DV60" s="42"/>
      <c r="DW60" s="42"/>
      <c r="DX60" s="42"/>
      <c r="DY60" s="42"/>
      <c r="DZ60" s="42"/>
      <c r="EA60" s="335"/>
      <c r="EB60" s="42"/>
      <c r="EC60" s="42"/>
      <c r="ED60" s="42"/>
      <c r="EE60" s="42"/>
      <c r="EF60" s="42"/>
      <c r="EG60" s="42"/>
      <c r="EH60" s="42"/>
      <c r="EI60" s="42"/>
      <c r="EJ60" s="42"/>
      <c r="EK60" s="42"/>
      <c r="EL60" s="42"/>
      <c r="EM60" s="42"/>
      <c r="EN60" s="42"/>
      <c r="EO60" s="42"/>
      <c r="EP60" s="42"/>
      <c r="EQ60" s="42"/>
      <c r="ER60" s="42"/>
      <c r="ES60" s="42"/>
      <c r="ET60" s="42"/>
      <c r="EU60" s="42"/>
      <c r="EV60" s="42"/>
      <c r="EW60" s="42"/>
      <c r="EX60" s="42"/>
      <c r="EY60" s="42"/>
      <c r="EZ60" s="42"/>
      <c r="FA60" s="42"/>
    </row>
    <row r="61" spans="1:179" ht="15" thickBot="1">
      <c r="A61" s="468" t="str">
        <f>IF(B61&lt;&gt;"",SUM($B$19:B61),"")</f>
        <v/>
      </c>
      <c r="B61" s="468" t="str">
        <f>IF(D61="Individual and Family Directed Goods &amp; Services","",IF(D61&lt;&gt;"",1,""))</f>
        <v/>
      </c>
      <c r="J61" s="6"/>
      <c r="K61" s="20"/>
      <c r="L61" s="20"/>
      <c r="M61" s="21"/>
      <c r="N61" s="20"/>
      <c r="O61" s="20"/>
      <c r="P61" s="21"/>
      <c r="Q61" s="77"/>
      <c r="R61" s="272"/>
      <c r="S61" s="272"/>
      <c r="T61" s="272"/>
      <c r="U61" s="272"/>
      <c r="V61" s="272"/>
      <c r="W61" s="272"/>
      <c r="X61" s="272"/>
      <c r="Y61" s="272"/>
      <c r="Z61" s="272"/>
      <c r="AA61" s="272"/>
      <c r="AB61" s="272"/>
      <c r="AC61" s="272"/>
      <c r="AD61" s="272"/>
      <c r="AP61" s="570">
        <v>19</v>
      </c>
      <c r="AQ61" s="331" t="s">
        <v>190</v>
      </c>
      <c r="AR61" s="570">
        <v>19</v>
      </c>
      <c r="AS61" s="317" t="s">
        <v>131</v>
      </c>
      <c r="AT61" s="575">
        <v>19</v>
      </c>
      <c r="AU61" s="333" t="s">
        <v>249</v>
      </c>
      <c r="AV61" s="579">
        <v>19</v>
      </c>
      <c r="AW61" s="42"/>
      <c r="AX61" s="314">
        <v>56</v>
      </c>
      <c r="AY61" s="166" t="s">
        <v>3</v>
      </c>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313" t="str">
        <f t="shared" si="13"/>
        <v>322</v>
      </c>
      <c r="CG61" s="356">
        <v>43282</v>
      </c>
      <c r="CH61" s="356">
        <v>43282</v>
      </c>
      <c r="CI61" s="370" t="s">
        <v>15</v>
      </c>
      <c r="CJ61" s="370"/>
      <c r="CK61" s="371">
        <v>2</v>
      </c>
      <c r="CL61" s="371">
        <v>2</v>
      </c>
      <c r="CM61" s="370">
        <v>3</v>
      </c>
      <c r="CN61" s="494">
        <f>'FPS Pivot Table'!D71</f>
        <v>35.950000000000003</v>
      </c>
      <c r="CO61" s="158"/>
      <c r="CP61" s="313" t="str">
        <f t="shared" si="14"/>
        <v>322</v>
      </c>
      <c r="CQ61" s="356">
        <v>43282</v>
      </c>
      <c r="CR61" s="356">
        <v>43282</v>
      </c>
      <c r="CS61" s="370" t="s">
        <v>15</v>
      </c>
      <c r="CT61" s="370"/>
      <c r="CU61" s="371">
        <v>2</v>
      </c>
      <c r="CV61" s="371">
        <v>2</v>
      </c>
      <c r="CW61" s="370">
        <v>3</v>
      </c>
      <c r="CX61" s="494">
        <f>'FPS Pivot Table'!E71</f>
        <v>37.39</v>
      </c>
      <c r="CY61" s="661">
        <f t="shared" si="15"/>
        <v>38.89</v>
      </c>
      <c r="CZ61" s="158"/>
      <c r="DA61" s="313" t="str">
        <f t="shared" si="9"/>
        <v>322</v>
      </c>
      <c r="DB61" s="356">
        <v>43282</v>
      </c>
      <c r="DC61" s="356">
        <v>43282</v>
      </c>
      <c r="DD61" s="371" t="s">
        <v>375</v>
      </c>
      <c r="DE61" s="377"/>
      <c r="DF61" s="377">
        <v>2</v>
      </c>
      <c r="DG61" s="377">
        <v>2</v>
      </c>
      <c r="DH61" s="377">
        <v>3</v>
      </c>
      <c r="DI61" s="494">
        <f>'FPS Pivot Table'!F71</f>
        <v>51.08</v>
      </c>
      <c r="DJ61" s="42"/>
      <c r="DK61" s="313" t="str">
        <f t="shared" si="40"/>
        <v>322</v>
      </c>
      <c r="DL61" s="356">
        <v>43282</v>
      </c>
      <c r="DM61" s="356">
        <v>43282</v>
      </c>
      <c r="DN61" s="371" t="s">
        <v>375</v>
      </c>
      <c r="DO61" s="377"/>
      <c r="DP61" s="377">
        <v>2</v>
      </c>
      <c r="DQ61" s="377">
        <v>2</v>
      </c>
      <c r="DR61" s="377">
        <v>3</v>
      </c>
      <c r="DS61" s="494">
        <f>'FPS Pivot Table'!G71</f>
        <v>53.12</v>
      </c>
      <c r="DT61" s="661">
        <f t="shared" si="16"/>
        <v>55.24</v>
      </c>
      <c r="DU61" s="42"/>
      <c r="DV61" s="42"/>
      <c r="DW61" s="42"/>
      <c r="DX61" s="42"/>
      <c r="DY61" s="42"/>
      <c r="DZ61" s="42"/>
      <c r="EA61" s="335"/>
      <c r="EB61" s="42"/>
      <c r="EC61" s="42"/>
      <c r="ED61" s="42"/>
      <c r="EE61" s="42"/>
      <c r="EF61" s="42"/>
      <c r="EG61" s="42"/>
      <c r="EH61" s="42"/>
      <c r="EI61" s="42"/>
      <c r="EJ61" s="42"/>
      <c r="EK61" s="42"/>
      <c r="EL61" s="42"/>
      <c r="EM61" s="42"/>
      <c r="EN61" s="42"/>
      <c r="EO61" s="42"/>
      <c r="EP61" s="42"/>
      <c r="EQ61" s="42"/>
      <c r="ER61" s="42"/>
      <c r="ES61" s="42"/>
      <c r="ET61" s="42"/>
      <c r="EU61" s="42"/>
      <c r="EV61" s="42"/>
      <c r="EW61" s="42"/>
      <c r="EX61" s="42"/>
      <c r="EY61" s="42"/>
      <c r="EZ61" s="42"/>
      <c r="FA61" s="42"/>
    </row>
    <row r="62" spans="1:179" ht="18.600000000000001" thickBot="1">
      <c r="D62" s="4" t="s">
        <v>315</v>
      </c>
      <c r="J62" s="3"/>
      <c r="L62" s="699" t="str">
        <f>K32</f>
        <v/>
      </c>
      <c r="M62" s="700"/>
      <c r="N62" s="700"/>
      <c r="O62" s="701"/>
      <c r="P62" s="636" t="str">
        <f>+N32</f>
        <v>0 Days</v>
      </c>
      <c r="Q62" s="699" t="str">
        <f>O32</f>
        <v/>
      </c>
      <c r="R62" s="700"/>
      <c r="S62" s="700"/>
      <c r="T62" s="701"/>
      <c r="U62" s="636" t="str">
        <f>+R32</f>
        <v>0 Days</v>
      </c>
      <c r="V62" s="682"/>
      <c r="W62" s="682"/>
      <c r="X62" s="682"/>
      <c r="Y62" s="682"/>
      <c r="Z62" s="682"/>
      <c r="AA62" s="682"/>
      <c r="AB62" s="682"/>
      <c r="AP62" s="570">
        <v>20</v>
      </c>
      <c r="AQ62" s="331" t="s">
        <v>191</v>
      </c>
      <c r="AR62" s="570">
        <v>20</v>
      </c>
      <c r="AS62" s="317" t="s">
        <v>131</v>
      </c>
      <c r="AT62" s="575">
        <v>20</v>
      </c>
      <c r="AU62" s="333" t="s">
        <v>252</v>
      </c>
      <c r="AV62" s="579">
        <v>20</v>
      </c>
      <c r="AW62" s="42"/>
      <c r="AX62" s="314">
        <v>57</v>
      </c>
      <c r="AY62" s="166" t="s">
        <v>3</v>
      </c>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313" t="str">
        <f t="shared" si="13"/>
        <v>323</v>
      </c>
      <c r="CG62" s="356">
        <v>43282</v>
      </c>
      <c r="CH62" s="356">
        <v>43282</v>
      </c>
      <c r="CI62" s="370" t="s">
        <v>15</v>
      </c>
      <c r="CJ62" s="370"/>
      <c r="CK62" s="371">
        <v>2</v>
      </c>
      <c r="CL62" s="371">
        <v>3</v>
      </c>
      <c r="CM62" s="370">
        <v>3</v>
      </c>
      <c r="CN62" s="494">
        <f>'FPS Pivot Table'!D72</f>
        <v>40.65</v>
      </c>
      <c r="CO62" s="158"/>
      <c r="CP62" s="313" t="str">
        <f t="shared" si="14"/>
        <v>323</v>
      </c>
      <c r="CQ62" s="356">
        <v>43282</v>
      </c>
      <c r="CR62" s="356">
        <v>43282</v>
      </c>
      <c r="CS62" s="370" t="s">
        <v>15</v>
      </c>
      <c r="CT62" s="370"/>
      <c r="CU62" s="371">
        <v>2</v>
      </c>
      <c r="CV62" s="371">
        <v>3</v>
      </c>
      <c r="CW62" s="370">
        <v>3</v>
      </c>
      <c r="CX62" s="494">
        <f>'FPS Pivot Table'!E72</f>
        <v>42.28</v>
      </c>
      <c r="CY62" s="661">
        <f t="shared" si="15"/>
        <v>43.97</v>
      </c>
      <c r="CZ62" s="158"/>
      <c r="DA62" s="313" t="str">
        <f t="shared" si="9"/>
        <v>323</v>
      </c>
      <c r="DB62" s="356">
        <v>43282</v>
      </c>
      <c r="DC62" s="356">
        <v>43282</v>
      </c>
      <c r="DD62" s="371" t="s">
        <v>375</v>
      </c>
      <c r="DE62" s="377"/>
      <c r="DF62" s="377">
        <v>2</v>
      </c>
      <c r="DG62" s="377">
        <v>3</v>
      </c>
      <c r="DH62" s="377">
        <v>3</v>
      </c>
      <c r="DI62" s="494">
        <f>'FPS Pivot Table'!F72</f>
        <v>55.17</v>
      </c>
      <c r="DJ62" s="42"/>
      <c r="DK62" s="313" t="str">
        <f t="shared" si="40"/>
        <v>323</v>
      </c>
      <c r="DL62" s="356">
        <v>43282</v>
      </c>
      <c r="DM62" s="356">
        <v>43282</v>
      </c>
      <c r="DN62" s="371" t="s">
        <v>375</v>
      </c>
      <c r="DO62" s="377"/>
      <c r="DP62" s="377">
        <v>2</v>
      </c>
      <c r="DQ62" s="377">
        <v>3</v>
      </c>
      <c r="DR62" s="377">
        <v>3</v>
      </c>
      <c r="DS62" s="494">
        <f>'FPS Pivot Table'!G72</f>
        <v>57.38</v>
      </c>
      <c r="DT62" s="661">
        <f t="shared" si="16"/>
        <v>59.68</v>
      </c>
      <c r="DU62" s="42"/>
      <c r="DV62" s="42"/>
      <c r="DW62" s="42"/>
      <c r="DX62" s="42"/>
      <c r="DY62" s="42"/>
      <c r="DZ62" s="42"/>
      <c r="EA62" s="335"/>
      <c r="EB62" s="42"/>
      <c r="EC62" s="42"/>
      <c r="ED62" s="42"/>
      <c r="EE62" s="42"/>
      <c r="EF62" s="42"/>
      <c r="EG62" s="42"/>
      <c r="EH62" s="42"/>
      <c r="EI62" s="42"/>
      <c r="EJ62" s="42"/>
      <c r="EK62" s="42"/>
      <c r="EL62" s="42"/>
      <c r="EM62" s="42"/>
      <c r="EN62" s="42"/>
      <c r="EO62" s="42"/>
      <c r="EP62" s="42"/>
      <c r="EQ62" s="42"/>
      <c r="ER62" s="42"/>
      <c r="ES62" s="42"/>
      <c r="ET62" s="42"/>
      <c r="EU62" s="42"/>
      <c r="EV62" s="42"/>
      <c r="EW62" s="42"/>
      <c r="EX62" s="42"/>
      <c r="EY62" s="42"/>
      <c r="EZ62" s="42"/>
      <c r="FA62" s="42"/>
    </row>
    <row r="63" spans="1:179" ht="31.8" thickBot="1">
      <c r="D63" s="71" t="s">
        <v>146</v>
      </c>
      <c r="E63" s="71" t="s">
        <v>415</v>
      </c>
      <c r="F63" s="545" t="s">
        <v>445</v>
      </c>
      <c r="G63" s="545" t="s">
        <v>446</v>
      </c>
      <c r="H63" s="71" t="s">
        <v>228</v>
      </c>
      <c r="I63" s="545" t="s">
        <v>409</v>
      </c>
      <c r="J63" s="8" t="s">
        <v>229</v>
      </c>
      <c r="K63" s="8" t="s">
        <v>145</v>
      </c>
      <c r="L63" s="71" t="s">
        <v>155</v>
      </c>
      <c r="M63" s="71" t="s">
        <v>143</v>
      </c>
      <c r="N63" s="544" t="s">
        <v>291</v>
      </c>
      <c r="O63" s="546" t="s">
        <v>197</v>
      </c>
      <c r="P63" s="546" t="s">
        <v>393</v>
      </c>
      <c r="Q63" s="71" t="s">
        <v>155</v>
      </c>
      <c r="R63" s="221" t="s">
        <v>143</v>
      </c>
      <c r="S63" s="544" t="s">
        <v>291</v>
      </c>
      <c r="T63" s="546" t="s">
        <v>197</v>
      </c>
      <c r="U63" s="546" t="s">
        <v>393</v>
      </c>
      <c r="V63" s="609"/>
      <c r="W63" s="609"/>
      <c r="X63" s="609"/>
      <c r="Y63" s="609"/>
      <c r="Z63" s="609"/>
      <c r="AA63" s="609"/>
      <c r="AB63" s="609"/>
      <c r="AE63" s="468" t="s">
        <v>244</v>
      </c>
      <c r="AF63" s="468" t="str">
        <f>+AE18</f>
        <v>FY 2024 Days</v>
      </c>
      <c r="AG63" s="468" t="str">
        <f>+AF18</f>
        <v>FY 2025 Days</v>
      </c>
      <c r="AH63" s="468" t="s">
        <v>211</v>
      </c>
      <c r="AP63" s="570">
        <v>21</v>
      </c>
      <c r="AQ63" s="331" t="s">
        <v>192</v>
      </c>
      <c r="AR63" s="570">
        <v>21</v>
      </c>
      <c r="AS63" s="317" t="s">
        <v>131</v>
      </c>
      <c r="AT63" s="575">
        <v>21</v>
      </c>
      <c r="AU63" s="333" t="s">
        <v>264</v>
      </c>
      <c r="AV63" s="579">
        <v>21</v>
      </c>
      <c r="AW63" s="42"/>
      <c r="AX63" s="314">
        <v>58</v>
      </c>
      <c r="AY63" s="166" t="s">
        <v>3</v>
      </c>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313" t="str">
        <f t="shared" si="13"/>
        <v>324</v>
      </c>
      <c r="CG63" s="356">
        <v>43282</v>
      </c>
      <c r="CH63" s="356">
        <v>43282</v>
      </c>
      <c r="CI63" s="370" t="s">
        <v>15</v>
      </c>
      <c r="CJ63" s="370"/>
      <c r="CK63" s="371">
        <v>2</v>
      </c>
      <c r="CL63" s="371">
        <v>4</v>
      </c>
      <c r="CM63" s="370">
        <v>3</v>
      </c>
      <c r="CN63" s="494">
        <f>'FPS Pivot Table'!D73</f>
        <v>46.9</v>
      </c>
      <c r="CO63" s="158"/>
      <c r="CP63" s="313" t="str">
        <f t="shared" si="14"/>
        <v>324</v>
      </c>
      <c r="CQ63" s="356">
        <v>43282</v>
      </c>
      <c r="CR63" s="356">
        <v>43282</v>
      </c>
      <c r="CS63" s="370" t="s">
        <v>15</v>
      </c>
      <c r="CT63" s="370"/>
      <c r="CU63" s="371">
        <v>2</v>
      </c>
      <c r="CV63" s="371">
        <v>4</v>
      </c>
      <c r="CW63" s="370">
        <v>3</v>
      </c>
      <c r="CX63" s="494">
        <f>'FPS Pivot Table'!E73</f>
        <v>48.78</v>
      </c>
      <c r="CY63" s="661">
        <f t="shared" si="15"/>
        <v>50.73</v>
      </c>
      <c r="CZ63" s="158"/>
      <c r="DA63" s="313" t="str">
        <f t="shared" si="9"/>
        <v>324</v>
      </c>
      <c r="DB63" s="356">
        <v>43282</v>
      </c>
      <c r="DC63" s="356">
        <v>43282</v>
      </c>
      <c r="DD63" s="371" t="s">
        <v>375</v>
      </c>
      <c r="DE63" s="377"/>
      <c r="DF63" s="377">
        <v>2</v>
      </c>
      <c r="DG63" s="377">
        <v>4</v>
      </c>
      <c r="DH63" s="377">
        <v>3</v>
      </c>
      <c r="DI63" s="494">
        <f>'FPS Pivot Table'!F73</f>
        <v>60.72</v>
      </c>
      <c r="DJ63" s="42"/>
      <c r="DK63" s="313" t="str">
        <f t="shared" si="40"/>
        <v>324</v>
      </c>
      <c r="DL63" s="356">
        <v>43282</v>
      </c>
      <c r="DM63" s="356">
        <v>43282</v>
      </c>
      <c r="DN63" s="371" t="s">
        <v>375</v>
      </c>
      <c r="DO63" s="377"/>
      <c r="DP63" s="377">
        <v>2</v>
      </c>
      <c r="DQ63" s="377">
        <v>4</v>
      </c>
      <c r="DR63" s="377">
        <v>3</v>
      </c>
      <c r="DS63" s="494">
        <f>'FPS Pivot Table'!G73</f>
        <v>63.15</v>
      </c>
      <c r="DT63" s="661">
        <f t="shared" si="16"/>
        <v>65.680000000000007</v>
      </c>
      <c r="DU63" s="42"/>
      <c r="DV63" s="42"/>
      <c r="DW63" s="42"/>
      <c r="DX63" s="42"/>
      <c r="DY63" s="42"/>
      <c r="DZ63" s="42"/>
      <c r="EA63" s="335"/>
      <c r="EB63" s="42"/>
      <c r="EC63" s="42"/>
      <c r="ED63" s="42"/>
      <c r="EE63" s="42"/>
      <c r="EF63" s="42"/>
      <c r="EG63" s="42"/>
      <c r="EH63" s="42"/>
      <c r="EI63" s="42"/>
      <c r="EJ63" s="42"/>
      <c r="EK63" s="42"/>
      <c r="EL63" s="42"/>
      <c r="EM63" s="42"/>
      <c r="EN63" s="42"/>
      <c r="EO63" s="42"/>
      <c r="EP63" s="42"/>
      <c r="EQ63" s="42"/>
      <c r="ER63" s="42"/>
      <c r="ES63" s="42"/>
      <c r="ET63" s="42"/>
      <c r="EU63" s="42"/>
      <c r="EV63" s="42"/>
      <c r="EW63" s="42"/>
      <c r="EX63" s="42"/>
      <c r="EY63" s="42"/>
      <c r="EZ63" s="42"/>
      <c r="FA63" s="42"/>
    </row>
    <row r="64" spans="1:179">
      <c r="A64" s="468">
        <f>IF(B64&lt;&gt;"",SUM($B$19:B64),"")</f>
        <v>19</v>
      </c>
      <c r="B64" s="468">
        <f t="shared" ref="B64:B70" si="41">IF(D64="Individual and Family Directed Goods &amp; Services","",IF(D64&lt;&gt;"",1,""))</f>
        <v>1</v>
      </c>
      <c r="D64" s="78" t="s">
        <v>314</v>
      </c>
      <c r="E64" s="293" t="s">
        <v>416</v>
      </c>
      <c r="F64" s="131"/>
      <c r="G64" s="132"/>
      <c r="H64" s="214"/>
      <c r="I64" s="277"/>
      <c r="J64" s="126" t="str">
        <f>IF(ISERROR(IF($D64="","",VLOOKUP(CONCATENATE($E$12,$A$12,$D64),'Waiver Rate Table'!$B$8:$S$219,6,FALSE))),"Unavailable",IF($D64="","",VLOOKUP(CONCATENATE($E$12,$A$12,$D64),'Waiver Rate Table'!$B$8:$S$219,6,FALSE)))</f>
        <v>Unavailable</v>
      </c>
      <c r="K64" s="530" t="str">
        <f>IF(ISERROR((VLOOKUP(CONCATENATE($E$12,$A$12,$D64),'Waiver Rate Table'!$B$7:$S$219,7,FALSE))),"",(VLOOKUP(CONCATENATE($E$12,$A$12,$D64),'Waiver Rate Table'!$B$7:$S$219,7,FALSE)))</f>
        <v/>
      </c>
      <c r="L64" s="613" t="str">
        <f>IF(ISERROR(IF(OR($D64="",$E$14="",$K64="Upper Pay Limit"),"",IF(K64="Day",(VLOOKUP(CONCATENATE(VLOOKUP($I64,$AV$5:$AW$28,2,FALSE),Budget!$K$7,Budget!$J$7),Budget!$DK$5:$DT$154,9,FALSE))+(ROUND($AL$33,2)),VLOOKUP(CONCATENATE($E$12,$A$12,$D64),'Waiver Rate Table'!$B$7:$R$185,16,FALSE)))),"",(IF(OR($D64="",$E$14="",$K64="Upper Pay Limit"),"",IF(K64="Day",(VLOOKUP(CONCATENATE(VLOOKUP($I64,$AV$5:$AW$28,2,FALSE),Budget!$K$7,Budget!$J$7),Budget!$DK$5:$DT$154,9,FALSE))+(ROUND($AL$33,2)),VLOOKUP(CONCATENATE($E$12,$A$12,$D64),'Waiver Rate Table'!$B$7:$R$185,16,FALSE)))))</f>
        <v/>
      </c>
      <c r="M64" s="108">
        <v>366</v>
      </c>
      <c r="N64" s="171">
        <f>IF($D64="","",SUMPRODUCT('Add-On Tool'!$K$36:$K$38*('Add-On Tool'!$D$36:$D$38=Budget!$D64))+SUMPRODUCT('Add-On Tool'!$K$45:$K$47*('Add-On Tool'!$D$45:$D$47=Budget!$D64)))</f>
        <v>0</v>
      </c>
      <c r="O64" s="215" t="str">
        <f t="shared" ref="O64:O70" si="42">IF(ISERROR(((L64*M64)+N64)),"",((L64*M64)+N64))</f>
        <v/>
      </c>
      <c r="P64" s="202"/>
      <c r="Q64" s="215" t="str">
        <f>IF(ISERROR(IF(OR($D64="",$E$14="",$K64="Upper Pay Limit"),"",IF(K64="Day",(VLOOKUP(CONCATENATE(VLOOKUP($I64,$AV$5:$AW$28,2,FALSE),Budget!$K$7,Budget!$J$7),Budget!$DK$5:$DT$154,10,FALSE))+(ROUND($AL$34,2)),VLOOKUP(CONCATENATE($E$12,$A$12,$D64),'Waiver Rate Table'!$B$7:$R$185,17,FALSE)))),"",(IF(OR($D64="",$E$14="",$K64="Upper Pay Limit"),"",IF(K64="Day",(VLOOKUP(CONCATENATE(VLOOKUP($I64,$AV$5:$AW$28,2,FALSE),Budget!$K$7,Budget!$J$7),Budget!$DK$5:$DT$154,10,FALSE))+(ROUND($AL$34,2)),VLOOKUP(CONCATENATE($E$12,$A$12,$D64),'Waiver Rate Table'!$B$7:$R$185,17,FALSE)))))</f>
        <v/>
      </c>
      <c r="R64" s="108">
        <v>62</v>
      </c>
      <c r="S64" s="403">
        <f>IF($D64="","",SUMPRODUCT('Add-On Tool'!$N$36:$N$38*('Add-On Tool'!$D$36:$D$38=Budget!$D64))+SUMPRODUCT('Add-On Tool'!$N$45:$N$47*('Add-On Tool'!$D$45:$D$47=Budget!$D64)))</f>
        <v>0</v>
      </c>
      <c r="T64" s="404" t="str">
        <f t="shared" ref="T64:T70" si="43">IF(ISERROR(((Q64*R64)+S64)),"",(Q64*R64)+S64)</f>
        <v/>
      </c>
      <c r="U64" s="405"/>
      <c r="V64" s="655"/>
      <c r="W64" s="669"/>
      <c r="X64" s="655"/>
      <c r="Y64" s="655"/>
      <c r="Z64" s="655"/>
      <c r="AA64" s="655"/>
      <c r="AB64" s="655"/>
      <c r="AE64" s="468" t="str">
        <f t="shared" ref="AE64:AE70" si="44">IF(OR(D64="",K64="Upper Pay Limit"),"x","")</f>
        <v/>
      </c>
      <c r="AF64" s="468" t="str">
        <f t="shared" ref="AF64:AF70" si="45">IF(AND($K$64="Day",M64&gt;$AG$15),"x","")</f>
        <v/>
      </c>
      <c r="AG64" s="468" t="str">
        <f t="shared" ref="AG64:AG70" si="46">IF(AND($K$64="Day",R64&gt;$AI$15),"x","")</f>
        <v/>
      </c>
      <c r="AH64" s="468" t="str">
        <f t="shared" ref="AH64:AH70" si="47">IF(K64="Upper Pay Limit","x","")</f>
        <v/>
      </c>
      <c r="AP64" s="570">
        <v>22</v>
      </c>
      <c r="AQ64" s="331" t="s">
        <v>193</v>
      </c>
      <c r="AR64" s="570">
        <v>22</v>
      </c>
      <c r="AS64" s="317" t="s">
        <v>131</v>
      </c>
      <c r="AT64" s="575">
        <v>22</v>
      </c>
      <c r="AU64" s="336" t="s">
        <v>265</v>
      </c>
      <c r="AV64" s="579">
        <v>22</v>
      </c>
      <c r="AW64" s="42"/>
      <c r="AX64" s="314">
        <v>59</v>
      </c>
      <c r="AY64" s="166" t="s">
        <v>3</v>
      </c>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313" t="str">
        <f t="shared" si="13"/>
        <v>325</v>
      </c>
      <c r="CG64" s="356">
        <v>43282</v>
      </c>
      <c r="CH64" s="356">
        <v>43282</v>
      </c>
      <c r="CI64" s="370" t="s">
        <v>15</v>
      </c>
      <c r="CJ64" s="370"/>
      <c r="CK64" s="371">
        <v>2</v>
      </c>
      <c r="CL64" s="371">
        <v>5</v>
      </c>
      <c r="CM64" s="370">
        <v>3</v>
      </c>
      <c r="CN64" s="494">
        <f>'FPS Pivot Table'!D74</f>
        <v>52.46</v>
      </c>
      <c r="CO64" s="158"/>
      <c r="CP64" s="313" t="str">
        <f t="shared" si="14"/>
        <v>325</v>
      </c>
      <c r="CQ64" s="356">
        <v>43282</v>
      </c>
      <c r="CR64" s="356">
        <v>43282</v>
      </c>
      <c r="CS64" s="370" t="s">
        <v>15</v>
      </c>
      <c r="CT64" s="370"/>
      <c r="CU64" s="371">
        <v>2</v>
      </c>
      <c r="CV64" s="371">
        <v>5</v>
      </c>
      <c r="CW64" s="370">
        <v>3</v>
      </c>
      <c r="CX64" s="494">
        <f>'FPS Pivot Table'!E74</f>
        <v>54.56</v>
      </c>
      <c r="CY64" s="661">
        <f t="shared" si="15"/>
        <v>56.74</v>
      </c>
      <c r="CZ64" s="158"/>
      <c r="DA64" s="313" t="str">
        <f t="shared" si="9"/>
        <v>325</v>
      </c>
      <c r="DB64" s="356">
        <v>43282</v>
      </c>
      <c r="DC64" s="356">
        <v>43282</v>
      </c>
      <c r="DD64" s="371" t="s">
        <v>375</v>
      </c>
      <c r="DE64" s="371"/>
      <c r="DF64" s="371">
        <v>2</v>
      </c>
      <c r="DG64" s="371">
        <v>5</v>
      </c>
      <c r="DH64" s="371">
        <v>3</v>
      </c>
      <c r="DI64" s="494">
        <f>'FPS Pivot Table'!F74</f>
        <v>65.58</v>
      </c>
      <c r="DJ64" s="42"/>
      <c r="DK64" s="313" t="str">
        <f t="shared" si="40"/>
        <v>325</v>
      </c>
      <c r="DL64" s="356">
        <v>43282</v>
      </c>
      <c r="DM64" s="356">
        <v>43282</v>
      </c>
      <c r="DN64" s="371" t="s">
        <v>375</v>
      </c>
      <c r="DO64" s="371"/>
      <c r="DP64" s="371">
        <v>2</v>
      </c>
      <c r="DQ64" s="371">
        <v>5</v>
      </c>
      <c r="DR64" s="371">
        <v>3</v>
      </c>
      <c r="DS64" s="494">
        <f>'FPS Pivot Table'!G74</f>
        <v>68.2</v>
      </c>
      <c r="DT64" s="661">
        <f t="shared" si="16"/>
        <v>70.930000000000007</v>
      </c>
      <c r="DU64" s="42"/>
      <c r="DV64" s="42"/>
      <c r="DW64" s="42"/>
      <c r="DX64" s="42"/>
      <c r="DY64" s="42"/>
      <c r="DZ64" s="42"/>
      <c r="EA64" s="335"/>
      <c r="EB64" s="42"/>
      <c r="EC64" s="42"/>
      <c r="ED64" s="42"/>
      <c r="EE64" s="42"/>
      <c r="EF64" s="42"/>
      <c r="EG64" s="42"/>
      <c r="EH64" s="42"/>
      <c r="EI64" s="42"/>
      <c r="EJ64" s="42"/>
      <c r="EK64" s="42"/>
      <c r="EL64" s="42"/>
      <c r="EM64" s="42"/>
      <c r="EN64" s="42"/>
      <c r="EO64" s="42"/>
      <c r="EP64" s="42"/>
      <c r="EQ64" s="42"/>
      <c r="ER64" s="42"/>
      <c r="ES64" s="42"/>
      <c r="ET64" s="42"/>
      <c r="EU64" s="42"/>
      <c r="EV64" s="42"/>
      <c r="EW64" s="42"/>
      <c r="EX64" s="42"/>
      <c r="EY64" s="42"/>
      <c r="EZ64" s="42"/>
      <c r="FA64" s="42"/>
    </row>
    <row r="65" spans="1:157">
      <c r="A65" s="468" t="str">
        <f>IF(B65&lt;&gt;"",SUM($B$19:B65),"")</f>
        <v/>
      </c>
      <c r="B65" s="468" t="str">
        <f t="shared" si="41"/>
        <v/>
      </c>
      <c r="D65" s="14"/>
      <c r="E65" s="289"/>
      <c r="F65" s="133"/>
      <c r="G65" s="134"/>
      <c r="H65" s="194"/>
      <c r="I65" s="207"/>
      <c r="J65" s="127" t="str">
        <f>IF(ISERROR(IF($D65="","",VLOOKUP(CONCATENATE($E$12,$A$12,$D65),'Waiver Rate Table'!$B$8:$S$219,6,FALSE))),"Unavailable",IF($D65="","",VLOOKUP(CONCATENATE($E$12,$A$12,$D65),'Waiver Rate Table'!$B$8:$S$219,6,FALSE)))</f>
        <v/>
      </c>
      <c r="K65" s="5" t="str">
        <f>IF(ISERROR((VLOOKUP(CONCATENATE($E$12,$A$12,$D65),'Waiver Rate Table'!$B$7:$S$219,7,FALSE))),"",(VLOOKUP(CONCATENATE($E$12,$A$12,$D65),'Waiver Rate Table'!$B$7:$S$219,7,FALSE)))</f>
        <v/>
      </c>
      <c r="L65" s="84" t="str">
        <f>IF(ISERROR(IF(OR($D65="",$E$14="",$K65="Upper Pay Limit"),"",IF(K65="Day",(VLOOKUP(CONCATENATE(VLOOKUP($I65,$AV$5:$AW$28,2,FALSE),Budget!$K$7,Budget!$J$7),Budget!$DK$5:$DT$154,9,FALSE))+(ROUND($AL$33,2)),VLOOKUP(CONCATENATE($E$12,$A$12,$D65),'Waiver Rate Table'!$B$7:$R$185,16,FALSE)))),"",(IF(OR($D65="",$E$14="",$K65="Upper Pay Limit"),"",IF(K65="Day",(VLOOKUP(CONCATENATE(VLOOKUP($I65,$AV$5:$AW$28,2,FALSE),Budget!$K$7,Budget!$J$7),Budget!$DK$5:$DT$154,9,FALSE))+(ROUND($AL$33,2)),VLOOKUP(CONCATENATE($E$12,$A$12,$D65),'Waiver Rate Table'!$B$7:$R$185,16,FALSE)))))</f>
        <v/>
      </c>
      <c r="M65" s="102"/>
      <c r="N65" s="172" t="str">
        <f>IF($D65="","",SUMPRODUCT('Add-On Tool'!$K$36:$K$38*('Add-On Tool'!$D$36:$D$38=Budget!$D65))+SUMPRODUCT('Add-On Tool'!$K$45:$K$47*('Add-On Tool'!$D$45:$D$47=Budget!$D65)))</f>
        <v/>
      </c>
      <c r="O65" s="7" t="str">
        <f t="shared" si="42"/>
        <v/>
      </c>
      <c r="P65" s="28"/>
      <c r="Q65" s="7" t="str">
        <f>IF(ISERROR(IF(OR($D65="",$E$14="",$K65="Upper Pay Limit"),"",IF(K65="Day",(VLOOKUP(CONCATENATE(VLOOKUP($I65,$AV$5:$AW$28,2,FALSE),Budget!$K$7,Budget!$J$7),Budget!$DK$5:$DT$154,10,FALSE))+(ROUND($AL$34,2)),VLOOKUP(CONCATENATE($E$12,$A$12,$D65),'Waiver Rate Table'!$B$7:$R$185,17,FALSE)))),"",(IF(OR($D65="",$E$14="",$K65="Upper Pay Limit"),"",IF(K65="Day",(VLOOKUP(CONCATENATE(VLOOKUP($I65,$AV$5:$AW$28,2,FALSE),Budget!$K$7,Budget!$J$7),Budget!$DK$5:$DT$154,10,FALSE))+(ROUND($AL$34,2)),VLOOKUP(CONCATENATE($E$12,$A$12,$D65),'Waiver Rate Table'!$B$7:$R$185,17,FALSE)))))</f>
        <v/>
      </c>
      <c r="R65" s="102"/>
      <c r="S65" s="406" t="str">
        <f>IF($D65="","",SUMPRODUCT('Add-On Tool'!$N$36:$N$38*('Add-On Tool'!$D$36:$D$38=Budget!$D65))+SUMPRODUCT('Add-On Tool'!$N$45:$N$47*('Add-On Tool'!$D$45:$D$47=Budget!$D65)))</f>
        <v/>
      </c>
      <c r="T65" s="407" t="str">
        <f t="shared" si="43"/>
        <v/>
      </c>
      <c r="U65" s="408"/>
      <c r="V65" s="655"/>
      <c r="W65" s="655"/>
      <c r="X65" s="655"/>
      <c r="Y65" s="655"/>
      <c r="Z65" s="655"/>
      <c r="AA65" s="655"/>
      <c r="AB65" s="655"/>
      <c r="AE65" s="468" t="str">
        <f t="shared" si="44"/>
        <v>x</v>
      </c>
      <c r="AF65" s="468" t="str">
        <f t="shared" si="45"/>
        <v/>
      </c>
      <c r="AG65" s="468" t="str">
        <f t="shared" si="46"/>
        <v/>
      </c>
      <c r="AH65" s="468" t="str">
        <f t="shared" si="47"/>
        <v/>
      </c>
      <c r="AP65" s="570">
        <v>23</v>
      </c>
      <c r="AQ65" s="331" t="s">
        <v>194</v>
      </c>
      <c r="AR65" s="570">
        <v>23</v>
      </c>
      <c r="AS65" s="317" t="s">
        <v>131</v>
      </c>
      <c r="AT65" s="575">
        <v>23</v>
      </c>
      <c r="AU65" s="336" t="s">
        <v>266</v>
      </c>
      <c r="AV65" s="579">
        <v>23</v>
      </c>
      <c r="AW65" s="42"/>
      <c r="AX65" s="314">
        <v>60</v>
      </c>
      <c r="AY65" s="166" t="s">
        <v>3</v>
      </c>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313" t="str">
        <f t="shared" si="13"/>
        <v>331</v>
      </c>
      <c r="CG65" s="356">
        <v>43282</v>
      </c>
      <c r="CH65" s="356">
        <v>43282</v>
      </c>
      <c r="CI65" s="370" t="s">
        <v>15</v>
      </c>
      <c r="CJ65" s="370"/>
      <c r="CK65" s="371">
        <v>3</v>
      </c>
      <c r="CL65" s="371">
        <v>1</v>
      </c>
      <c r="CM65" s="370">
        <v>3</v>
      </c>
      <c r="CN65" s="494">
        <f>'FPS Pivot Table'!D75</f>
        <v>43.58</v>
      </c>
      <c r="CO65" s="158"/>
      <c r="CP65" s="313" t="str">
        <f t="shared" si="14"/>
        <v>331</v>
      </c>
      <c r="CQ65" s="356">
        <v>43282</v>
      </c>
      <c r="CR65" s="356">
        <v>43282</v>
      </c>
      <c r="CS65" s="370" t="s">
        <v>15</v>
      </c>
      <c r="CT65" s="370"/>
      <c r="CU65" s="371">
        <v>3</v>
      </c>
      <c r="CV65" s="371">
        <v>1</v>
      </c>
      <c r="CW65" s="370">
        <v>3</v>
      </c>
      <c r="CX65" s="494">
        <f>'FPS Pivot Table'!E75</f>
        <v>45.32</v>
      </c>
      <c r="CY65" s="661">
        <f t="shared" si="15"/>
        <v>47.13</v>
      </c>
      <c r="CZ65" s="158"/>
      <c r="DA65" s="313" t="str">
        <f t="shared" si="9"/>
        <v>331</v>
      </c>
      <c r="DB65" s="356">
        <v>43282</v>
      </c>
      <c r="DC65" s="356">
        <v>43282</v>
      </c>
      <c r="DD65" s="371" t="s">
        <v>375</v>
      </c>
      <c r="DE65" s="371"/>
      <c r="DF65" s="371">
        <v>3</v>
      </c>
      <c r="DG65" s="371">
        <v>1</v>
      </c>
      <c r="DH65" s="371">
        <v>3</v>
      </c>
      <c r="DI65" s="494">
        <f>'FPS Pivot Table'!F75</f>
        <v>82.74</v>
      </c>
      <c r="DJ65" s="42"/>
      <c r="DK65" s="313" t="str">
        <f t="shared" si="40"/>
        <v>331</v>
      </c>
      <c r="DL65" s="356">
        <v>43282</v>
      </c>
      <c r="DM65" s="356">
        <v>43282</v>
      </c>
      <c r="DN65" s="371" t="s">
        <v>375</v>
      </c>
      <c r="DO65" s="371"/>
      <c r="DP65" s="371">
        <v>3</v>
      </c>
      <c r="DQ65" s="371">
        <v>1</v>
      </c>
      <c r="DR65" s="371">
        <v>3</v>
      </c>
      <c r="DS65" s="494">
        <f>'FPS Pivot Table'!G75</f>
        <v>86.05</v>
      </c>
      <c r="DT65" s="661">
        <f t="shared" si="16"/>
        <v>89.49</v>
      </c>
      <c r="DU65" s="42"/>
      <c r="DV65" s="42"/>
      <c r="DW65" s="42"/>
      <c r="DX65" s="42"/>
      <c r="DY65" s="42"/>
      <c r="DZ65" s="42"/>
      <c r="EA65" s="335"/>
      <c r="EB65" s="42"/>
      <c r="EC65" s="42"/>
      <c r="ED65" s="42"/>
      <c r="EE65" s="42"/>
      <c r="EF65" s="42"/>
      <c r="EG65" s="42"/>
      <c r="EH65" s="42"/>
      <c r="EI65" s="42"/>
      <c r="EJ65" s="42"/>
      <c r="EK65" s="42"/>
      <c r="EL65" s="42"/>
      <c r="EM65" s="42"/>
      <c r="EN65" s="42"/>
      <c r="EO65" s="42"/>
      <c r="EP65" s="42"/>
      <c r="EQ65" s="42"/>
      <c r="ER65" s="42"/>
      <c r="ES65" s="42"/>
      <c r="ET65" s="42"/>
      <c r="EU65" s="42"/>
      <c r="EV65" s="42"/>
      <c r="EW65" s="42"/>
      <c r="EX65" s="42"/>
      <c r="EY65" s="42"/>
      <c r="EZ65" s="42"/>
      <c r="FA65" s="42"/>
    </row>
    <row r="66" spans="1:157">
      <c r="A66" s="468" t="str">
        <f>IF(B66&lt;&gt;"",SUM($B$19:B66),"")</f>
        <v/>
      </c>
      <c r="B66" s="468" t="str">
        <f t="shared" si="41"/>
        <v/>
      </c>
      <c r="D66" s="14"/>
      <c r="E66" s="289"/>
      <c r="F66" s="133"/>
      <c r="G66" s="134"/>
      <c r="H66" s="194"/>
      <c r="I66" s="207"/>
      <c r="J66" s="127" t="str">
        <f>IF(ISERROR(IF($D66="","",VLOOKUP(CONCATENATE($E$12,$A$12,$D66),'Waiver Rate Table'!$B$8:$S$219,6,FALSE))),"Unavailable",IF($D66="","",VLOOKUP(CONCATENATE($E$12,$A$12,$D66),'Waiver Rate Table'!$B$8:$S$219,6,FALSE)))</f>
        <v/>
      </c>
      <c r="K66" s="5" t="str">
        <f>IF(ISERROR((VLOOKUP(CONCATENATE($E$12,$A$12,$D66),'Waiver Rate Table'!$B$7:$S$219,7,FALSE))),"",(VLOOKUP(CONCATENATE($E$12,$A$12,$D66),'Waiver Rate Table'!$B$7:$S$219,7,FALSE)))</f>
        <v/>
      </c>
      <c r="L66" s="84" t="str">
        <f>IF(ISERROR(IF(OR($D66="",$E$14="",$K66="Upper Pay Limit"),"",IF(K66="Day",(VLOOKUP(CONCATENATE(VLOOKUP($I66,$AV$5:$AW$28,2,FALSE),Budget!$K$7,Budget!$J$7),Budget!$DK$5:$DT$154,9,FALSE))+(ROUND($AL$33,2)),VLOOKUP(CONCATENATE($E$12,$A$12,$D66),'Waiver Rate Table'!$B$7:$R$185,16,FALSE)))),"",(IF(OR($D66="",$E$14="",$K66="Upper Pay Limit"),"",IF(K66="Day",(VLOOKUP(CONCATENATE(VLOOKUP($I66,$AV$5:$AW$28,2,FALSE),Budget!$K$7,Budget!$J$7),Budget!$DK$5:$DT$154,9,FALSE))+(ROUND($AL$33,2)),VLOOKUP(CONCATENATE($E$12,$A$12,$D66),'Waiver Rate Table'!$B$7:$R$185,16,FALSE)))))</f>
        <v/>
      </c>
      <c r="M66" s="102"/>
      <c r="N66" s="172" t="str">
        <f>IF($D66="","",SUMPRODUCT('Add-On Tool'!$K$36:$K$38*('Add-On Tool'!$D$36:$D$38=Budget!$D66))+SUMPRODUCT('Add-On Tool'!$K$45:$K$47*('Add-On Tool'!$D$45:$D$47=Budget!$D66)))</f>
        <v/>
      </c>
      <c r="O66" s="7" t="str">
        <f t="shared" si="42"/>
        <v/>
      </c>
      <c r="P66" s="28"/>
      <c r="Q66" s="7" t="str">
        <f>IF(ISERROR(IF(OR($D66="",$E$14="",$K66="Upper Pay Limit"),"",IF(K66="Day",(VLOOKUP(CONCATENATE(VLOOKUP($I66,$AV$5:$AW$28,2,FALSE),Budget!$K$7,Budget!$J$7),Budget!$DK$5:$DT$154,10,FALSE))+(ROUND($AL$34,2)),VLOOKUP(CONCATENATE($E$12,$A$12,$D66),'Waiver Rate Table'!$B$7:$R$185,17,FALSE)))),"",(IF(OR($D66="",$E$14="",$K66="Upper Pay Limit"),"",IF(K66="Day",(VLOOKUP(CONCATENATE(VLOOKUP($I66,$AV$5:$AW$28,2,FALSE),Budget!$K$7,Budget!$J$7),Budget!$DK$5:$DT$154,10,FALSE))+(ROUND($AL$34,2)),VLOOKUP(CONCATENATE($E$12,$A$12,$D66),'Waiver Rate Table'!$B$7:$R$185,17,FALSE)))))</f>
        <v/>
      </c>
      <c r="R66" s="102"/>
      <c r="S66" s="406" t="str">
        <f>IF($D66="","",SUMPRODUCT('Add-On Tool'!$N$36:$N$38*('Add-On Tool'!$D$36:$D$38=Budget!$D66))+SUMPRODUCT('Add-On Tool'!$N$45:$N$47*('Add-On Tool'!$D$45:$D$47=Budget!$D66)))</f>
        <v/>
      </c>
      <c r="T66" s="407" t="str">
        <f t="shared" si="43"/>
        <v/>
      </c>
      <c r="U66" s="408"/>
      <c r="V66" s="655"/>
      <c r="W66" s="655"/>
      <c r="X66" s="655"/>
      <c r="Y66" s="655"/>
      <c r="Z66" s="655"/>
      <c r="AA66" s="655"/>
      <c r="AB66" s="655"/>
      <c r="AE66" s="468" t="str">
        <f t="shared" si="44"/>
        <v>x</v>
      </c>
      <c r="AF66" s="468" t="str">
        <f t="shared" si="45"/>
        <v/>
      </c>
      <c r="AG66" s="468" t="str">
        <f t="shared" si="46"/>
        <v/>
      </c>
      <c r="AH66" s="468" t="str">
        <f t="shared" si="47"/>
        <v/>
      </c>
      <c r="AP66" s="570">
        <v>24</v>
      </c>
      <c r="AQ66" s="331" t="s">
        <v>195</v>
      </c>
      <c r="AR66" s="570">
        <v>24</v>
      </c>
      <c r="AS66" s="317" t="s">
        <v>131</v>
      </c>
      <c r="AT66" s="575">
        <v>24</v>
      </c>
      <c r="AU66" s="336" t="s">
        <v>267</v>
      </c>
      <c r="AV66" s="579">
        <v>24</v>
      </c>
      <c r="AW66" s="42"/>
      <c r="AX66" s="314">
        <v>61</v>
      </c>
      <c r="AY66" s="166" t="s">
        <v>3</v>
      </c>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313" t="str">
        <f t="shared" si="13"/>
        <v>332</v>
      </c>
      <c r="CG66" s="356">
        <v>43282</v>
      </c>
      <c r="CH66" s="356">
        <v>43282</v>
      </c>
      <c r="CI66" s="370" t="s">
        <v>15</v>
      </c>
      <c r="CJ66" s="370"/>
      <c r="CK66" s="371">
        <v>3</v>
      </c>
      <c r="CL66" s="371">
        <v>2</v>
      </c>
      <c r="CM66" s="370">
        <v>3</v>
      </c>
      <c r="CN66" s="494">
        <f>'FPS Pivot Table'!D76</f>
        <v>46.48</v>
      </c>
      <c r="CO66" s="158"/>
      <c r="CP66" s="313" t="str">
        <f t="shared" si="14"/>
        <v>332</v>
      </c>
      <c r="CQ66" s="356">
        <v>43282</v>
      </c>
      <c r="CR66" s="356">
        <v>43282</v>
      </c>
      <c r="CS66" s="370" t="s">
        <v>15</v>
      </c>
      <c r="CT66" s="370"/>
      <c r="CU66" s="371">
        <v>3</v>
      </c>
      <c r="CV66" s="371">
        <v>2</v>
      </c>
      <c r="CW66" s="370">
        <v>3</v>
      </c>
      <c r="CX66" s="494">
        <f>'FPS Pivot Table'!E76</f>
        <v>48.34</v>
      </c>
      <c r="CY66" s="661">
        <f t="shared" si="15"/>
        <v>50.27</v>
      </c>
      <c r="CZ66" s="158"/>
      <c r="DA66" s="313" t="str">
        <f t="shared" si="9"/>
        <v>332</v>
      </c>
      <c r="DB66" s="356">
        <v>43282</v>
      </c>
      <c r="DC66" s="356">
        <v>43282</v>
      </c>
      <c r="DD66" s="371" t="s">
        <v>375</v>
      </c>
      <c r="DE66" s="371"/>
      <c r="DF66" s="371">
        <v>3</v>
      </c>
      <c r="DG66" s="371">
        <v>2</v>
      </c>
      <c r="DH66" s="371">
        <v>3</v>
      </c>
      <c r="DI66" s="494">
        <f>'FPS Pivot Table'!F76</f>
        <v>85.31</v>
      </c>
      <c r="DJ66" s="42"/>
      <c r="DK66" s="313" t="str">
        <f t="shared" si="40"/>
        <v>332</v>
      </c>
      <c r="DL66" s="356">
        <v>43282</v>
      </c>
      <c r="DM66" s="356">
        <v>43282</v>
      </c>
      <c r="DN66" s="371" t="s">
        <v>375</v>
      </c>
      <c r="DO66" s="371"/>
      <c r="DP66" s="371">
        <v>3</v>
      </c>
      <c r="DQ66" s="371">
        <v>2</v>
      </c>
      <c r="DR66" s="371">
        <v>3</v>
      </c>
      <c r="DS66" s="494">
        <f>'FPS Pivot Table'!G76</f>
        <v>88.72</v>
      </c>
      <c r="DT66" s="661">
        <f t="shared" si="16"/>
        <v>92.27</v>
      </c>
      <c r="DU66" s="42"/>
      <c r="DV66" s="42"/>
      <c r="DW66" s="42"/>
      <c r="DX66" s="42"/>
      <c r="DY66" s="42"/>
      <c r="DZ66" s="42"/>
      <c r="EA66" s="335"/>
      <c r="EB66" s="42"/>
      <c r="EC66" s="42"/>
      <c r="ED66" s="42"/>
      <c r="EE66" s="42"/>
      <c r="EF66" s="42"/>
      <c r="EG66" s="42"/>
      <c r="EH66" s="42"/>
      <c r="EI66" s="42"/>
      <c r="EJ66" s="42"/>
      <c r="EK66" s="42"/>
      <c r="EL66" s="42"/>
      <c r="EM66" s="42"/>
      <c r="EN66" s="42"/>
      <c r="EO66" s="42"/>
      <c r="EP66" s="42"/>
      <c r="EQ66" s="42"/>
      <c r="ER66" s="42"/>
      <c r="ES66" s="42"/>
      <c r="ET66" s="42"/>
      <c r="EU66" s="42"/>
      <c r="EV66" s="42"/>
      <c r="EW66" s="42"/>
      <c r="EX66" s="42"/>
      <c r="EY66" s="42"/>
      <c r="EZ66" s="42"/>
      <c r="FA66" s="42"/>
    </row>
    <row r="67" spans="1:157">
      <c r="A67" s="468" t="str">
        <f>IF(B67&lt;&gt;"",SUM($B$19:B67),"")</f>
        <v/>
      </c>
      <c r="B67" s="468" t="str">
        <f t="shared" si="41"/>
        <v/>
      </c>
      <c r="D67" s="14"/>
      <c r="E67" s="289"/>
      <c r="F67" s="133"/>
      <c r="G67" s="134"/>
      <c r="H67" s="194"/>
      <c r="I67" s="207"/>
      <c r="J67" s="127" t="str">
        <f>IF(ISERROR(IF($D67="","",VLOOKUP(CONCATENATE($E$12,$A$12,$D67),'Waiver Rate Table'!$B$8:$S$219,6,FALSE))),"Unavailable",IF($D67="","",VLOOKUP(CONCATENATE($E$12,$A$12,$D67),'Waiver Rate Table'!$B$8:$S$219,6,FALSE)))</f>
        <v/>
      </c>
      <c r="K67" s="5" t="str">
        <f>IF(ISERROR((VLOOKUP(CONCATENATE($E$12,$A$12,$D67),'Waiver Rate Table'!$B$7:$S$219,7,FALSE))),"",(VLOOKUP(CONCATENATE($E$12,$A$12,$D67),'Waiver Rate Table'!$B$7:$S$219,7,FALSE)))</f>
        <v/>
      </c>
      <c r="L67" s="84" t="str">
        <f>IF(ISERROR(IF(OR($D67="",$E$14="",$K67="Upper Pay Limit"),"",IF(K67="Day",(VLOOKUP(CONCATENATE(VLOOKUP($I67,$AV$5:$AW$28,2,FALSE),Budget!$K$7,Budget!$J$7),Budget!$DK$5:$DT$154,9,FALSE))+(ROUND($AL$33,2)),VLOOKUP(CONCATENATE($E$12,$A$12,$D67),'Waiver Rate Table'!$B$7:$R$185,16,FALSE)))),"",(IF(OR($D67="",$E$14="",$K67="Upper Pay Limit"),"",IF(K67="Day",(VLOOKUP(CONCATENATE(VLOOKUP($I67,$AV$5:$AW$28,2,FALSE),Budget!$K$7,Budget!$J$7),Budget!$DK$5:$DT$154,9,FALSE))+(ROUND($AL$33,2)),VLOOKUP(CONCATENATE($E$12,$A$12,$D67),'Waiver Rate Table'!$B$7:$R$185,16,FALSE)))))</f>
        <v/>
      </c>
      <c r="M67" s="102"/>
      <c r="N67" s="172" t="str">
        <f>IF($D67="","",SUMPRODUCT('Add-On Tool'!$K$36:$K$38*('Add-On Tool'!$D$36:$D$38=Budget!$D67))+SUMPRODUCT('Add-On Tool'!$K$45:$K$47*('Add-On Tool'!$D$45:$D$47=Budget!$D67)))</f>
        <v/>
      </c>
      <c r="O67" s="7" t="str">
        <f t="shared" si="42"/>
        <v/>
      </c>
      <c r="P67" s="28"/>
      <c r="Q67" s="7" t="str">
        <f>IF(ISERROR(IF(OR($D67="",$E$14="",$K67="Upper Pay Limit"),"",IF(K67="Day",(VLOOKUP(CONCATENATE(VLOOKUP($I67,$AV$5:$AW$28,2,FALSE),Budget!$K$7,Budget!$J$7),Budget!$DK$5:$DT$154,10,FALSE))+(ROUND($AL$34,2)),VLOOKUP(CONCATENATE($E$12,$A$12,$D67),'Waiver Rate Table'!$B$7:$R$185,17,FALSE)))),"",(IF(OR($D67="",$E$14="",$K67="Upper Pay Limit"),"",IF(K67="Day",(VLOOKUP(CONCATENATE(VLOOKUP($I67,$AV$5:$AW$28,2,FALSE),Budget!$K$7,Budget!$J$7),Budget!$DK$5:$DT$154,10,FALSE))+(ROUND($AL$34,2)),VLOOKUP(CONCATENATE($E$12,$A$12,$D67),'Waiver Rate Table'!$B$7:$R$185,17,FALSE)))))</f>
        <v/>
      </c>
      <c r="R67" s="102"/>
      <c r="S67" s="406" t="str">
        <f>IF($D67="","",SUMPRODUCT('Add-On Tool'!$N$36:$N$38*('Add-On Tool'!$D$36:$D$38=Budget!$D67))+SUMPRODUCT('Add-On Tool'!$N$45:$N$47*('Add-On Tool'!$D$45:$D$47=Budget!$D67)))</f>
        <v/>
      </c>
      <c r="T67" s="407" t="str">
        <f t="shared" si="43"/>
        <v/>
      </c>
      <c r="U67" s="408"/>
      <c r="V67" s="655"/>
      <c r="W67" s="655"/>
      <c r="X67" s="655"/>
      <c r="Y67" s="655"/>
      <c r="Z67" s="655"/>
      <c r="AA67" s="655"/>
      <c r="AB67" s="655"/>
      <c r="AE67" s="468" t="str">
        <f t="shared" si="44"/>
        <v>x</v>
      </c>
      <c r="AF67" s="468" t="str">
        <f t="shared" si="45"/>
        <v/>
      </c>
      <c r="AG67" s="468" t="str">
        <f t="shared" si="46"/>
        <v/>
      </c>
      <c r="AH67" s="468" t="str">
        <f t="shared" si="47"/>
        <v/>
      </c>
      <c r="AP67" s="570">
        <v>25</v>
      </c>
      <c r="AQ67" s="331" t="s">
        <v>184</v>
      </c>
      <c r="AR67" s="570">
        <v>25</v>
      </c>
      <c r="AS67" s="317" t="s">
        <v>131</v>
      </c>
      <c r="AT67" s="575">
        <v>25</v>
      </c>
      <c r="AU67" s="336" t="s">
        <v>268</v>
      </c>
      <c r="AV67" s="579">
        <v>25</v>
      </c>
      <c r="AW67" s="42"/>
      <c r="AX67" s="314">
        <v>62</v>
      </c>
      <c r="AY67" s="166" t="s">
        <v>3</v>
      </c>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313" t="str">
        <f t="shared" si="13"/>
        <v>333</v>
      </c>
      <c r="CG67" s="356">
        <v>43282</v>
      </c>
      <c r="CH67" s="356">
        <v>43282</v>
      </c>
      <c r="CI67" s="370" t="s">
        <v>15</v>
      </c>
      <c r="CJ67" s="370"/>
      <c r="CK67" s="371">
        <v>3</v>
      </c>
      <c r="CL67" s="371">
        <v>3</v>
      </c>
      <c r="CM67" s="370">
        <v>3</v>
      </c>
      <c r="CN67" s="494">
        <f>'FPS Pivot Table'!D77</f>
        <v>51.15</v>
      </c>
      <c r="CO67" s="158"/>
      <c r="CP67" s="313" t="str">
        <f t="shared" si="14"/>
        <v>333</v>
      </c>
      <c r="CQ67" s="356">
        <v>43282</v>
      </c>
      <c r="CR67" s="356">
        <v>43282</v>
      </c>
      <c r="CS67" s="370" t="s">
        <v>15</v>
      </c>
      <c r="CT67" s="370"/>
      <c r="CU67" s="371">
        <v>3</v>
      </c>
      <c r="CV67" s="371">
        <v>3</v>
      </c>
      <c r="CW67" s="370">
        <v>3</v>
      </c>
      <c r="CX67" s="494">
        <f>'FPS Pivot Table'!E77</f>
        <v>53.2</v>
      </c>
      <c r="CY67" s="661">
        <f t="shared" si="15"/>
        <v>55.33</v>
      </c>
      <c r="CZ67" s="158"/>
      <c r="DA67" s="313" t="str">
        <f t="shared" si="9"/>
        <v>333</v>
      </c>
      <c r="DB67" s="356">
        <v>43282</v>
      </c>
      <c r="DC67" s="356">
        <v>43282</v>
      </c>
      <c r="DD67" s="371" t="s">
        <v>375</v>
      </c>
      <c r="DE67" s="371"/>
      <c r="DF67" s="371">
        <v>3</v>
      </c>
      <c r="DG67" s="371">
        <v>3</v>
      </c>
      <c r="DH67" s="371">
        <v>3</v>
      </c>
      <c r="DI67" s="494">
        <f>'FPS Pivot Table'!F77</f>
        <v>89.36</v>
      </c>
      <c r="DJ67" s="42"/>
      <c r="DK67" s="313" t="str">
        <f t="shared" si="40"/>
        <v>333</v>
      </c>
      <c r="DL67" s="356">
        <v>43282</v>
      </c>
      <c r="DM67" s="356">
        <v>43282</v>
      </c>
      <c r="DN67" s="371" t="s">
        <v>375</v>
      </c>
      <c r="DO67" s="371"/>
      <c r="DP67" s="371">
        <v>3</v>
      </c>
      <c r="DQ67" s="371">
        <v>3</v>
      </c>
      <c r="DR67" s="371">
        <v>3</v>
      </c>
      <c r="DS67" s="494">
        <f>'FPS Pivot Table'!G77</f>
        <v>92.93</v>
      </c>
      <c r="DT67" s="661">
        <f t="shared" si="16"/>
        <v>96.65</v>
      </c>
      <c r="DU67" s="42"/>
      <c r="DV67" s="42"/>
      <c r="DW67" s="42"/>
      <c r="DX67" s="42"/>
      <c r="DY67" s="42"/>
      <c r="DZ67" s="42"/>
      <c r="EA67" s="335"/>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row>
    <row r="68" spans="1:157">
      <c r="A68" s="468" t="str">
        <f>IF(B68&lt;&gt;"",SUM($B$19:B68),"")</f>
        <v/>
      </c>
      <c r="B68" s="468" t="str">
        <f t="shared" si="41"/>
        <v/>
      </c>
      <c r="D68" s="14"/>
      <c r="E68" s="289"/>
      <c r="F68" s="133"/>
      <c r="G68" s="134"/>
      <c r="H68" s="194"/>
      <c r="I68" s="207"/>
      <c r="J68" s="127" t="str">
        <f>IF(ISERROR(IF($D68="","",VLOOKUP(CONCATENATE($E$12,$A$12,$D68),'Waiver Rate Table'!$B$8:$S$219,6,FALSE))),"Unavailable",IF($D68="","",VLOOKUP(CONCATENATE($E$12,$A$12,$D68),'Waiver Rate Table'!$B$8:$S$219,6,FALSE)))</f>
        <v/>
      </c>
      <c r="K68" s="5" t="str">
        <f>IF(ISERROR((VLOOKUP(CONCATENATE($E$12,$A$12,$D68),'Waiver Rate Table'!$B$7:$S$219,7,FALSE))),"",(VLOOKUP(CONCATENATE($E$12,$A$12,$D68),'Waiver Rate Table'!$B$7:$S$219,7,FALSE)))</f>
        <v/>
      </c>
      <c r="L68" s="84" t="str">
        <f>IF(ISERROR(IF(OR($D68="",$E$14="",$K68="Upper Pay Limit"),"",IF(K68="Day",(VLOOKUP(CONCATENATE(VLOOKUP($I68,$AV$5:$AW$28,2,FALSE),Budget!$K$7,Budget!$J$7),Budget!$DK$5:$DT$154,9,FALSE))+(ROUND($AL$33,2)),VLOOKUP(CONCATENATE($E$12,$A$12,$D68),'Waiver Rate Table'!$B$7:$R$185,16,FALSE)))),"",(IF(OR($D68="",$E$14="",$K68="Upper Pay Limit"),"",IF(K68="Day",(VLOOKUP(CONCATENATE(VLOOKUP($I68,$AV$5:$AW$28,2,FALSE),Budget!$K$7,Budget!$J$7),Budget!$DK$5:$DT$154,9,FALSE))+(ROUND($AL$33,2)),VLOOKUP(CONCATENATE($E$12,$A$12,$D68),'Waiver Rate Table'!$B$7:$R$185,16,FALSE)))))</f>
        <v/>
      </c>
      <c r="M68" s="102"/>
      <c r="N68" s="172" t="str">
        <f>IF($D68="","",SUMPRODUCT('Add-On Tool'!$K$36:$K$38*('Add-On Tool'!$D$36:$D$38=Budget!$D68))+SUMPRODUCT('Add-On Tool'!$K$45:$K$47*('Add-On Tool'!$D$45:$D$47=Budget!$D68)))</f>
        <v/>
      </c>
      <c r="O68" s="7" t="str">
        <f t="shared" si="42"/>
        <v/>
      </c>
      <c r="P68" s="28"/>
      <c r="Q68" s="7" t="str">
        <f>IF(ISERROR(IF(OR($D68="",$E$14="",$K68="Upper Pay Limit"),"",IF(K68="Day",(VLOOKUP(CONCATENATE(VLOOKUP($I68,$AV$5:$AW$28,2,FALSE),Budget!$K$7,Budget!$J$7),Budget!$DK$5:$DT$154,10,FALSE))+(ROUND($AL$34,2)),VLOOKUP(CONCATENATE($E$12,$A$12,$D68),'Waiver Rate Table'!$B$7:$R$185,17,FALSE)))),"",(IF(OR($D68="",$E$14="",$K68="Upper Pay Limit"),"",IF(K68="Day",(VLOOKUP(CONCATENATE(VLOOKUP($I68,$AV$5:$AW$28,2,FALSE),Budget!$K$7,Budget!$J$7),Budget!$DK$5:$DT$154,10,FALSE))+(ROUND($AL$34,2)),VLOOKUP(CONCATENATE($E$12,$A$12,$D68),'Waiver Rate Table'!$B$7:$R$185,17,FALSE)))))</f>
        <v/>
      </c>
      <c r="R68" s="102"/>
      <c r="S68" s="406" t="str">
        <f>IF($D68="","",SUMPRODUCT('Add-On Tool'!$N$36:$N$38*('Add-On Tool'!$D$36:$D$38=Budget!$D68))+SUMPRODUCT('Add-On Tool'!$N$45:$N$47*('Add-On Tool'!$D$45:$D$47=Budget!$D68)))</f>
        <v/>
      </c>
      <c r="T68" s="407" t="str">
        <f t="shared" si="43"/>
        <v/>
      </c>
      <c r="U68" s="408"/>
      <c r="V68" s="655"/>
      <c r="W68" s="655"/>
      <c r="X68" s="655"/>
      <c r="Y68" s="655"/>
      <c r="Z68" s="655"/>
      <c r="AA68" s="655"/>
      <c r="AB68" s="655"/>
      <c r="AE68" s="468" t="str">
        <f t="shared" si="44"/>
        <v>x</v>
      </c>
      <c r="AF68" s="468" t="str">
        <f t="shared" si="45"/>
        <v/>
      </c>
      <c r="AG68" s="468" t="str">
        <f t="shared" si="46"/>
        <v/>
      </c>
      <c r="AH68" s="468" t="str">
        <f t="shared" si="47"/>
        <v/>
      </c>
      <c r="AP68" s="570">
        <v>26</v>
      </c>
      <c r="AQ68" s="331" t="s">
        <v>185</v>
      </c>
      <c r="AR68" s="570">
        <v>26</v>
      </c>
      <c r="AS68" s="317" t="s">
        <v>131</v>
      </c>
      <c r="AT68" s="575">
        <v>26</v>
      </c>
      <c r="AU68" s="336" t="s">
        <v>269</v>
      </c>
      <c r="AV68" s="579">
        <v>26</v>
      </c>
      <c r="AW68" s="42"/>
      <c r="AX68" s="314">
        <v>63</v>
      </c>
      <c r="AY68" s="166" t="s">
        <v>3</v>
      </c>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313" t="str">
        <f t="shared" si="13"/>
        <v>334</v>
      </c>
      <c r="CG68" s="356">
        <v>43282</v>
      </c>
      <c r="CH68" s="356">
        <v>43282</v>
      </c>
      <c r="CI68" s="370" t="s">
        <v>15</v>
      </c>
      <c r="CJ68" s="370"/>
      <c r="CK68" s="371">
        <v>3</v>
      </c>
      <c r="CL68" s="371">
        <v>4</v>
      </c>
      <c r="CM68" s="370">
        <v>3</v>
      </c>
      <c r="CN68" s="494">
        <f>'FPS Pivot Table'!D78</f>
        <v>57.42</v>
      </c>
      <c r="CO68" s="158"/>
      <c r="CP68" s="313" t="str">
        <f t="shared" si="14"/>
        <v>334</v>
      </c>
      <c r="CQ68" s="356">
        <v>43282</v>
      </c>
      <c r="CR68" s="356">
        <v>43282</v>
      </c>
      <c r="CS68" s="370" t="s">
        <v>15</v>
      </c>
      <c r="CT68" s="370"/>
      <c r="CU68" s="371">
        <v>3</v>
      </c>
      <c r="CV68" s="371">
        <v>4</v>
      </c>
      <c r="CW68" s="370">
        <v>3</v>
      </c>
      <c r="CX68" s="494">
        <f>'FPS Pivot Table'!E78</f>
        <v>59.72</v>
      </c>
      <c r="CY68" s="661">
        <f t="shared" si="15"/>
        <v>62.11</v>
      </c>
      <c r="CZ68" s="158"/>
      <c r="DA68" s="313" t="str">
        <f t="shared" si="9"/>
        <v>334</v>
      </c>
      <c r="DB68" s="356">
        <v>43282</v>
      </c>
      <c r="DC68" s="356">
        <v>43282</v>
      </c>
      <c r="DD68" s="371" t="s">
        <v>375</v>
      </c>
      <c r="DE68" s="371"/>
      <c r="DF68" s="371">
        <v>3</v>
      </c>
      <c r="DG68" s="371">
        <v>4</v>
      </c>
      <c r="DH68" s="371">
        <v>3</v>
      </c>
      <c r="DI68" s="494">
        <f>'FPS Pivot Table'!F78</f>
        <v>94.89</v>
      </c>
      <c r="DJ68" s="42"/>
      <c r="DK68" s="313" t="str">
        <f t="shared" si="40"/>
        <v>334</v>
      </c>
      <c r="DL68" s="356">
        <v>43282</v>
      </c>
      <c r="DM68" s="356">
        <v>43282</v>
      </c>
      <c r="DN68" s="371" t="s">
        <v>375</v>
      </c>
      <c r="DO68" s="371"/>
      <c r="DP68" s="371">
        <v>3</v>
      </c>
      <c r="DQ68" s="371">
        <v>4</v>
      </c>
      <c r="DR68" s="371">
        <v>3</v>
      </c>
      <c r="DS68" s="494">
        <f>'FPS Pivot Table'!G78</f>
        <v>98.69</v>
      </c>
      <c r="DT68" s="661">
        <f t="shared" si="16"/>
        <v>102.64</v>
      </c>
      <c r="DU68" s="42"/>
      <c r="DV68" s="42"/>
      <c r="DW68" s="42"/>
      <c r="DX68" s="42"/>
      <c r="DY68" s="42"/>
      <c r="DZ68" s="42"/>
      <c r="EA68" s="335"/>
      <c r="EB68" s="42"/>
      <c r="EC68" s="42"/>
      <c r="ED68" s="42"/>
      <c r="EE68" s="42"/>
      <c r="EF68" s="42"/>
      <c r="EG68" s="42"/>
      <c r="EH68" s="42"/>
      <c r="EI68" s="42"/>
      <c r="EJ68" s="42"/>
      <c r="EK68" s="42"/>
      <c r="EL68" s="42"/>
      <c r="EM68" s="42"/>
      <c r="EN68" s="42"/>
      <c r="EO68" s="42"/>
      <c r="EP68" s="42"/>
      <c r="EQ68" s="42"/>
      <c r="ER68" s="42"/>
      <c r="ES68" s="42"/>
      <c r="ET68" s="42"/>
      <c r="EU68" s="42"/>
      <c r="EV68" s="42"/>
      <c r="EW68" s="42"/>
      <c r="EX68" s="42"/>
      <c r="EY68" s="42"/>
      <c r="EZ68" s="42"/>
      <c r="FA68" s="42"/>
    </row>
    <row r="69" spans="1:157">
      <c r="A69" s="468" t="str">
        <f>IF(B69&lt;&gt;"",SUM($B$19:B69),"")</f>
        <v/>
      </c>
      <c r="B69" s="468" t="str">
        <f t="shared" si="41"/>
        <v/>
      </c>
      <c r="D69" s="14"/>
      <c r="E69" s="289"/>
      <c r="F69" s="133"/>
      <c r="G69" s="134"/>
      <c r="H69" s="194"/>
      <c r="I69" s="207"/>
      <c r="J69" s="127" t="str">
        <f>IF(ISERROR(IF($D69="","",VLOOKUP(CONCATENATE($E$12,$A$12,$D69),'Waiver Rate Table'!$B$8:$S$219,6,FALSE))),"Unavailable",IF($D69="","",VLOOKUP(CONCATENATE($E$12,$A$12,$D69),'Waiver Rate Table'!$B$8:$S$219,6,FALSE)))</f>
        <v/>
      </c>
      <c r="K69" s="5" t="str">
        <f>IF(ISERROR((VLOOKUP(CONCATENATE($E$12,$A$12,$D69),'Waiver Rate Table'!$B$7:$S$219,7,FALSE))),"",(VLOOKUP(CONCATENATE($E$12,$A$12,$D69),'Waiver Rate Table'!$B$7:$S$219,7,FALSE)))</f>
        <v/>
      </c>
      <c r="L69" s="84" t="str">
        <f>IF(ISERROR(IF(OR($D69="",$E$14="",$K69="Upper Pay Limit"),"",IF(K69="Day",(VLOOKUP(CONCATENATE(VLOOKUP($I69,$AV$5:$AW$28,2,FALSE),Budget!$K$7,Budget!$J$7),Budget!$DK$5:$DT$154,9,FALSE))+(ROUND($AL$33,2)),VLOOKUP(CONCATENATE($E$12,$A$12,$D69),'Waiver Rate Table'!$B$7:$R$185,16,FALSE)))),"",(IF(OR($D69="",$E$14="",$K69="Upper Pay Limit"),"",IF(K69="Day",(VLOOKUP(CONCATENATE(VLOOKUP($I69,$AV$5:$AW$28,2,FALSE),Budget!$K$7,Budget!$J$7),Budget!$DK$5:$DT$154,9,FALSE))+(ROUND($AL$33,2)),VLOOKUP(CONCATENATE($E$12,$A$12,$D69),'Waiver Rate Table'!$B$7:$R$185,16,FALSE)))))</f>
        <v/>
      </c>
      <c r="M69" s="102"/>
      <c r="N69" s="172" t="str">
        <f>IF($D69="","",SUMPRODUCT('Add-On Tool'!$K$36:$K$38*('Add-On Tool'!$D$36:$D$38=Budget!$D69))+SUMPRODUCT('Add-On Tool'!$K$45:$K$47*('Add-On Tool'!$D$45:$D$47=Budget!$D69)))</f>
        <v/>
      </c>
      <c r="O69" s="7" t="str">
        <f t="shared" si="42"/>
        <v/>
      </c>
      <c r="P69" s="28"/>
      <c r="Q69" s="7" t="str">
        <f>IF(ISERROR(IF(OR($D69="",$E$14="",$K69="Upper Pay Limit"),"",IF(K69="Day",(VLOOKUP(CONCATENATE(VLOOKUP($I69,$AV$5:$AW$28,2,FALSE),Budget!$K$7,Budget!$J$7),Budget!$DK$5:$DT$154,10,FALSE))+(ROUND($AL$34,2)),VLOOKUP(CONCATENATE($E$12,$A$12,$D69),'Waiver Rate Table'!$B$7:$R$185,17,FALSE)))),"",(IF(OR($D69="",$E$14="",$K69="Upper Pay Limit"),"",IF(K69="Day",(VLOOKUP(CONCATENATE(VLOOKUP($I69,$AV$5:$AW$28,2,FALSE),Budget!$K$7,Budget!$J$7),Budget!$DK$5:$DT$154,10,FALSE))+(ROUND($AL$34,2)),VLOOKUP(CONCATENATE($E$12,$A$12,$D69),'Waiver Rate Table'!$B$7:$R$185,17,FALSE)))))</f>
        <v/>
      </c>
      <c r="R69" s="102"/>
      <c r="S69" s="406" t="str">
        <f>IF($D69="","",SUMPRODUCT('Add-On Tool'!$N$36:$N$38*('Add-On Tool'!$D$36:$D$38=Budget!$D69))+SUMPRODUCT('Add-On Tool'!$N$45:$N$47*('Add-On Tool'!$D$45:$D$47=Budget!$D69)))</f>
        <v/>
      </c>
      <c r="T69" s="407" t="str">
        <f t="shared" si="43"/>
        <v/>
      </c>
      <c r="U69" s="408"/>
      <c r="V69" s="655"/>
      <c r="W69" s="655"/>
      <c r="X69" s="655"/>
      <c r="Y69" s="655"/>
      <c r="Z69" s="655"/>
      <c r="AA69" s="655"/>
      <c r="AB69" s="655"/>
      <c r="AE69" s="468" t="str">
        <f t="shared" si="44"/>
        <v>x</v>
      </c>
      <c r="AF69" s="468" t="str">
        <f t="shared" si="45"/>
        <v/>
      </c>
      <c r="AG69" s="468" t="str">
        <f t="shared" si="46"/>
        <v/>
      </c>
      <c r="AH69" s="468" t="str">
        <f t="shared" si="47"/>
        <v/>
      </c>
      <c r="AP69" s="570">
        <v>27</v>
      </c>
      <c r="AQ69" s="331" t="s">
        <v>186</v>
      </c>
      <c r="AR69" s="570">
        <v>27</v>
      </c>
      <c r="AS69" s="317" t="s">
        <v>131</v>
      </c>
      <c r="AT69" s="575">
        <v>27</v>
      </c>
      <c r="AU69" s="336" t="s">
        <v>270</v>
      </c>
      <c r="AV69" s="579">
        <v>27</v>
      </c>
      <c r="AW69" s="42"/>
      <c r="AX69" s="314">
        <v>64</v>
      </c>
      <c r="AY69" s="166" t="s">
        <v>3</v>
      </c>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313" t="str">
        <f t="shared" si="13"/>
        <v>335</v>
      </c>
      <c r="CG69" s="356">
        <v>43282</v>
      </c>
      <c r="CH69" s="356">
        <v>43282</v>
      </c>
      <c r="CI69" s="370" t="s">
        <v>15</v>
      </c>
      <c r="CJ69" s="370"/>
      <c r="CK69" s="371">
        <v>3</v>
      </c>
      <c r="CL69" s="371">
        <v>5</v>
      </c>
      <c r="CM69" s="370">
        <v>3</v>
      </c>
      <c r="CN69" s="494">
        <f>'FPS Pivot Table'!D79</f>
        <v>62.97</v>
      </c>
      <c r="CO69" s="158"/>
      <c r="CP69" s="313" t="str">
        <f t="shared" si="14"/>
        <v>335</v>
      </c>
      <c r="CQ69" s="356">
        <v>43282</v>
      </c>
      <c r="CR69" s="356">
        <v>43282</v>
      </c>
      <c r="CS69" s="370" t="s">
        <v>15</v>
      </c>
      <c r="CT69" s="370"/>
      <c r="CU69" s="371">
        <v>3</v>
      </c>
      <c r="CV69" s="371">
        <v>5</v>
      </c>
      <c r="CW69" s="370">
        <v>3</v>
      </c>
      <c r="CX69" s="494">
        <f>'FPS Pivot Table'!E79</f>
        <v>65.489999999999995</v>
      </c>
      <c r="CY69" s="661">
        <f t="shared" si="15"/>
        <v>68.11</v>
      </c>
      <c r="CZ69" s="158"/>
      <c r="DA69" s="313" t="str">
        <f t="shared" ref="DA69:DA132" si="48">CONCATENATE(DH69,DF69,DG69)</f>
        <v>335</v>
      </c>
      <c r="DB69" s="356">
        <v>43282</v>
      </c>
      <c r="DC69" s="356">
        <v>43282</v>
      </c>
      <c r="DD69" s="371" t="s">
        <v>375</v>
      </c>
      <c r="DE69" s="371"/>
      <c r="DF69" s="371">
        <v>3</v>
      </c>
      <c r="DG69" s="371">
        <v>5</v>
      </c>
      <c r="DH69" s="371">
        <v>3</v>
      </c>
      <c r="DI69" s="494">
        <f>'FPS Pivot Table'!F79</f>
        <v>99.8</v>
      </c>
      <c r="DJ69" s="42"/>
      <c r="DK69" s="313" t="str">
        <f t="shared" ref="DK69:DK100" si="49">CONCATENATE(DR69,DP69,DQ69)</f>
        <v>335</v>
      </c>
      <c r="DL69" s="356">
        <v>43282</v>
      </c>
      <c r="DM69" s="356">
        <v>43282</v>
      </c>
      <c r="DN69" s="371" t="s">
        <v>375</v>
      </c>
      <c r="DO69" s="371"/>
      <c r="DP69" s="371">
        <v>3</v>
      </c>
      <c r="DQ69" s="371">
        <v>5</v>
      </c>
      <c r="DR69" s="371">
        <v>3</v>
      </c>
      <c r="DS69" s="494">
        <f>'FPS Pivot Table'!G79</f>
        <v>103.79</v>
      </c>
      <c r="DT69" s="661">
        <f t="shared" si="16"/>
        <v>107.94</v>
      </c>
      <c r="DU69" s="42"/>
      <c r="DV69" s="42"/>
      <c r="DW69" s="42"/>
      <c r="DX69" s="42"/>
      <c r="DY69" s="42"/>
      <c r="DZ69" s="42"/>
      <c r="EA69" s="335"/>
      <c r="EB69" s="42"/>
      <c r="EC69" s="42"/>
      <c r="ED69" s="42"/>
      <c r="EE69" s="42"/>
      <c r="EF69" s="42"/>
      <c r="EG69" s="42"/>
      <c r="EH69" s="42"/>
      <c r="EI69" s="42"/>
      <c r="EJ69" s="42"/>
      <c r="EK69" s="42"/>
      <c r="EL69" s="42"/>
      <c r="EM69" s="42"/>
      <c r="EN69" s="42"/>
      <c r="EO69" s="42"/>
      <c r="EP69" s="42"/>
      <c r="EQ69" s="42"/>
      <c r="ER69" s="42"/>
      <c r="ES69" s="42"/>
      <c r="ET69" s="42"/>
      <c r="EU69" s="42"/>
      <c r="EV69" s="42"/>
      <c r="EW69" s="42"/>
      <c r="EX69" s="42"/>
      <c r="EY69" s="42"/>
      <c r="EZ69" s="42"/>
      <c r="FA69" s="42"/>
    </row>
    <row r="70" spans="1:157" ht="15" thickBot="1">
      <c r="A70" s="468" t="str">
        <f>IF(B70&lt;&gt;"",SUM($B$19:B70),"")</f>
        <v/>
      </c>
      <c r="B70" s="468" t="str">
        <f t="shared" si="41"/>
        <v/>
      </c>
      <c r="D70" s="15"/>
      <c r="E70" s="294"/>
      <c r="F70" s="135"/>
      <c r="G70" s="136"/>
      <c r="H70" s="195"/>
      <c r="I70" s="208"/>
      <c r="J70" s="128" t="str">
        <f>IF(ISERROR(IF($D70="","",VLOOKUP(CONCATENATE($E$12,$A$12,$D70),'Waiver Rate Table'!$B$8:$S$219,6,FALSE))),"Unavailable",IF($D70="","",VLOOKUP(CONCATENATE($E$12,$A$12,$D70),'Waiver Rate Table'!$B$8:$S$219,6,FALSE)))</f>
        <v/>
      </c>
      <c r="K70" s="531" t="str">
        <f>IF(ISERROR((VLOOKUP(CONCATENATE($E$12,$A$12,$D70),'Waiver Rate Table'!$B$7:$S$219,7,FALSE))),"",(VLOOKUP(CONCATENATE($E$12,$A$12,$D70),'Waiver Rate Table'!$B$7:$S$219,7,FALSE)))</f>
        <v/>
      </c>
      <c r="L70" s="85" t="str">
        <f>IF(ISERROR(IF(OR($D70="",$E$14="",$K70="Upper Pay Limit"),"",IF(K70="Day",(VLOOKUP(CONCATENATE(VLOOKUP($I70,$AV$5:$AW$28,2,FALSE),Budget!$K$7,Budget!$J$7),Budget!$DK$5:$DT$154,9,FALSE))+(ROUND($AL$33,2)),VLOOKUP(CONCATENATE($E$12,$A$12,$D70),'Waiver Rate Table'!$B$7:$R$185,16,FALSE)))),"",(IF(OR($D70="",$E$14="",$K70="Upper Pay Limit"),"",IF(K70="Day",(VLOOKUP(CONCATENATE(VLOOKUP($I70,$AV$5:$AW$28,2,FALSE),Budget!$K$7,Budget!$J$7),Budget!$DK$5:$DT$154,9,FALSE))+(ROUND($AL$33,2)),VLOOKUP(CONCATENATE($E$12,$A$12,$D70),'Waiver Rate Table'!$B$7:$R$185,16,FALSE)))))</f>
        <v/>
      </c>
      <c r="M70" s="103"/>
      <c r="N70" s="173" t="str">
        <f>IF($D70="","",SUMPRODUCT('Add-On Tool'!$K$36:$K$38*('Add-On Tool'!$D$36:$D$38=Budget!$D70))+SUMPRODUCT('Add-On Tool'!$K$45:$K$47*('Add-On Tool'!$D$45:$D$47=Budget!$D70)))</f>
        <v/>
      </c>
      <c r="O70" s="216" t="str">
        <f t="shared" si="42"/>
        <v/>
      </c>
      <c r="P70" s="203"/>
      <c r="Q70" s="216" t="str">
        <f>IF(ISERROR(IF(OR($D70="",$E$14="",$K70="Upper Pay Limit"),"",IF(K70="Day",(VLOOKUP(CONCATENATE(VLOOKUP($I70,$AV$5:$AW$28,2,FALSE),Budget!$K$7,Budget!$J$7),Budget!$DK$5:$DT$154,10,FALSE))+(ROUND($AL$34,2)),VLOOKUP(CONCATENATE($E$12,$A$12,$D70),'Waiver Rate Table'!$B$7:$R$185,17,FALSE)))),"",(IF(OR($D70="",$E$14="",$K70="Upper Pay Limit"),"",IF(K70="Day",(VLOOKUP(CONCATENATE(VLOOKUP($I70,$AV$5:$AW$28,2,FALSE),Budget!$K$7,Budget!$J$7),Budget!$DK$5:$DT$154,10,FALSE))+(ROUND($AL$34,2)),VLOOKUP(CONCATENATE($E$12,$A$12,$D70),'Waiver Rate Table'!$B$7:$R$185,17,FALSE)))))</f>
        <v/>
      </c>
      <c r="R70" s="103"/>
      <c r="S70" s="409" t="str">
        <f>IF($D70="","",SUMPRODUCT('Add-On Tool'!$N$36:$N$38*('Add-On Tool'!$D$36:$D$38=Budget!$D70))+SUMPRODUCT('Add-On Tool'!$N$45:$N$47*('Add-On Tool'!$D$45:$D$47=Budget!$D70)))</f>
        <v/>
      </c>
      <c r="T70" s="410" t="str">
        <f t="shared" si="43"/>
        <v/>
      </c>
      <c r="U70" s="411"/>
      <c r="V70" s="655"/>
      <c r="W70" s="655"/>
      <c r="X70" s="655"/>
      <c r="Y70" s="655"/>
      <c r="Z70" s="655"/>
      <c r="AA70" s="655"/>
      <c r="AB70" s="655"/>
      <c r="AE70" s="468" t="str">
        <f t="shared" si="44"/>
        <v>x</v>
      </c>
      <c r="AF70" s="468" t="str">
        <f t="shared" si="45"/>
        <v/>
      </c>
      <c r="AG70" s="468" t="str">
        <f t="shared" si="46"/>
        <v/>
      </c>
      <c r="AH70" s="468" t="str">
        <f t="shared" si="47"/>
        <v/>
      </c>
      <c r="AP70" s="570">
        <v>28</v>
      </c>
      <c r="AQ70" s="331" t="s">
        <v>187</v>
      </c>
      <c r="AR70" s="570">
        <v>28</v>
      </c>
      <c r="AS70" s="317" t="s">
        <v>131</v>
      </c>
      <c r="AT70" s="575">
        <v>28</v>
      </c>
      <c r="AU70" s="336" t="s">
        <v>271</v>
      </c>
      <c r="AV70" s="579">
        <v>28</v>
      </c>
      <c r="AW70" s="42"/>
      <c r="AX70" s="314">
        <v>65</v>
      </c>
      <c r="AY70" s="166" t="s">
        <v>3</v>
      </c>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313" t="str">
        <f t="shared" ref="CF70:CF133" si="50">CONCATENATE(CM70,CK70,CL70)</f>
        <v>341</v>
      </c>
      <c r="CG70" s="356">
        <v>43282</v>
      </c>
      <c r="CH70" s="356">
        <v>43282</v>
      </c>
      <c r="CI70" s="370" t="s">
        <v>15</v>
      </c>
      <c r="CJ70" s="370"/>
      <c r="CK70" s="371">
        <v>4</v>
      </c>
      <c r="CL70" s="371">
        <v>1</v>
      </c>
      <c r="CM70" s="370">
        <v>3</v>
      </c>
      <c r="CN70" s="494">
        <f>'FPS Pivot Table'!D80</f>
        <v>54.37</v>
      </c>
      <c r="CO70" s="158"/>
      <c r="CP70" s="313" t="str">
        <f t="shared" ref="CP70:CP133" si="51">CONCATENATE(CW70,CU70,CV70)</f>
        <v>341</v>
      </c>
      <c r="CQ70" s="356">
        <v>43282</v>
      </c>
      <c r="CR70" s="356">
        <v>43282</v>
      </c>
      <c r="CS70" s="370" t="s">
        <v>15</v>
      </c>
      <c r="CT70" s="370"/>
      <c r="CU70" s="371">
        <v>4</v>
      </c>
      <c r="CV70" s="371">
        <v>1</v>
      </c>
      <c r="CW70" s="370">
        <v>3</v>
      </c>
      <c r="CX70" s="494">
        <f>'FPS Pivot Table'!E80</f>
        <v>56.54</v>
      </c>
      <c r="CY70" s="661">
        <f t="shared" ref="CY70:CY133" si="52">ROUND(+CX70*(1+$CY$4),2)</f>
        <v>58.8</v>
      </c>
      <c r="CZ70" s="158"/>
      <c r="DA70" s="313" t="str">
        <f t="shared" si="48"/>
        <v>341</v>
      </c>
      <c r="DB70" s="356">
        <v>43282</v>
      </c>
      <c r="DC70" s="356">
        <v>43282</v>
      </c>
      <c r="DD70" s="371" t="s">
        <v>375</v>
      </c>
      <c r="DE70" s="371"/>
      <c r="DF70" s="371">
        <v>4</v>
      </c>
      <c r="DG70" s="371">
        <v>1</v>
      </c>
      <c r="DH70" s="371">
        <v>3</v>
      </c>
      <c r="DI70" s="494">
        <f>'FPS Pivot Table'!F80</f>
        <v>134.03</v>
      </c>
      <c r="DJ70" s="42"/>
      <c r="DK70" s="313" t="str">
        <f t="shared" si="49"/>
        <v>341</v>
      </c>
      <c r="DL70" s="356">
        <v>43282</v>
      </c>
      <c r="DM70" s="356">
        <v>43282</v>
      </c>
      <c r="DN70" s="371" t="s">
        <v>375</v>
      </c>
      <c r="DO70" s="371"/>
      <c r="DP70" s="371">
        <v>4</v>
      </c>
      <c r="DQ70" s="371">
        <v>1</v>
      </c>
      <c r="DR70" s="371">
        <v>3</v>
      </c>
      <c r="DS70" s="494">
        <f>'FPS Pivot Table'!G80</f>
        <v>139.38999999999999</v>
      </c>
      <c r="DT70" s="661">
        <f t="shared" ref="DT70:DT133" si="53">ROUND(+DS70*(1+$DT$4),2)</f>
        <v>144.97</v>
      </c>
      <c r="DU70" s="42"/>
      <c r="DV70" s="42"/>
      <c r="DW70" s="42"/>
      <c r="DX70" s="42"/>
      <c r="DY70" s="42"/>
      <c r="DZ70" s="42"/>
      <c r="EA70" s="335"/>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row>
    <row r="71" spans="1:157" ht="15" thickBot="1">
      <c r="D71" s="24"/>
      <c r="K71" s="5"/>
      <c r="L71" s="13" t="s">
        <v>386</v>
      </c>
      <c r="M71" s="105"/>
      <c r="N71" s="19"/>
      <c r="O71" s="218"/>
      <c r="P71" s="219">
        <f>SUM(O64:P70)</f>
        <v>0</v>
      </c>
      <c r="Q71" s="217" t="s">
        <v>386</v>
      </c>
      <c r="R71" s="218"/>
      <c r="S71" s="412"/>
      <c r="T71" s="220"/>
      <c r="U71" s="302">
        <f>SUM(T64:U70)</f>
        <v>0</v>
      </c>
      <c r="V71" s="656"/>
      <c r="W71" s="656"/>
      <c r="X71" s="656"/>
      <c r="Y71" s="656"/>
      <c r="Z71" s="656"/>
      <c r="AA71" s="656"/>
      <c r="AB71" s="656"/>
      <c r="AP71" s="570">
        <v>29</v>
      </c>
      <c r="AQ71" s="331" t="s">
        <v>188</v>
      </c>
      <c r="AR71" s="570">
        <v>29</v>
      </c>
      <c r="AS71" s="317" t="s">
        <v>131</v>
      </c>
      <c r="AT71" s="575">
        <v>29</v>
      </c>
      <c r="AU71" s="336" t="s">
        <v>272</v>
      </c>
      <c r="AV71" s="579">
        <v>29</v>
      </c>
      <c r="AW71" s="42"/>
      <c r="AX71" s="314">
        <v>66</v>
      </c>
      <c r="AY71" s="166" t="s">
        <v>3</v>
      </c>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313" t="str">
        <f t="shared" si="50"/>
        <v>342</v>
      </c>
      <c r="CG71" s="356">
        <v>43282</v>
      </c>
      <c r="CH71" s="356">
        <v>43282</v>
      </c>
      <c r="CI71" s="370" t="s">
        <v>15</v>
      </c>
      <c r="CJ71" s="370"/>
      <c r="CK71" s="371">
        <v>4</v>
      </c>
      <c r="CL71" s="371">
        <v>2</v>
      </c>
      <c r="CM71" s="370">
        <v>3</v>
      </c>
      <c r="CN71" s="494">
        <f>'FPS Pivot Table'!D81</f>
        <v>57.27</v>
      </c>
      <c r="CO71" s="158"/>
      <c r="CP71" s="313" t="str">
        <f t="shared" si="51"/>
        <v>342</v>
      </c>
      <c r="CQ71" s="356">
        <v>43282</v>
      </c>
      <c r="CR71" s="356">
        <v>43282</v>
      </c>
      <c r="CS71" s="370" t="s">
        <v>15</v>
      </c>
      <c r="CT71" s="370"/>
      <c r="CU71" s="371">
        <v>4</v>
      </c>
      <c r="CV71" s="371">
        <v>2</v>
      </c>
      <c r="CW71" s="370">
        <v>3</v>
      </c>
      <c r="CX71" s="494">
        <f>'FPS Pivot Table'!E81</f>
        <v>59.56</v>
      </c>
      <c r="CY71" s="661">
        <f t="shared" si="52"/>
        <v>61.94</v>
      </c>
      <c r="CZ71" s="158"/>
      <c r="DA71" s="313" t="str">
        <f t="shared" si="48"/>
        <v>342</v>
      </c>
      <c r="DB71" s="356">
        <v>43282</v>
      </c>
      <c r="DC71" s="356">
        <v>43282</v>
      </c>
      <c r="DD71" s="371" t="s">
        <v>375</v>
      </c>
      <c r="DE71" s="371"/>
      <c r="DF71" s="371">
        <v>4</v>
      </c>
      <c r="DG71" s="371">
        <v>2</v>
      </c>
      <c r="DH71" s="371">
        <v>3</v>
      </c>
      <c r="DI71" s="494">
        <f>'FPS Pivot Table'!F81</f>
        <v>136.58000000000001</v>
      </c>
      <c r="DJ71" s="42"/>
      <c r="DK71" s="313" t="str">
        <f t="shared" si="49"/>
        <v>342</v>
      </c>
      <c r="DL71" s="356">
        <v>43282</v>
      </c>
      <c r="DM71" s="356">
        <v>43282</v>
      </c>
      <c r="DN71" s="371" t="s">
        <v>375</v>
      </c>
      <c r="DO71" s="371"/>
      <c r="DP71" s="371">
        <v>4</v>
      </c>
      <c r="DQ71" s="371">
        <v>2</v>
      </c>
      <c r="DR71" s="371">
        <v>3</v>
      </c>
      <c r="DS71" s="494">
        <f>'FPS Pivot Table'!G81</f>
        <v>142.04</v>
      </c>
      <c r="DT71" s="661">
        <f t="shared" si="53"/>
        <v>147.72</v>
      </c>
      <c r="DU71" s="42"/>
      <c r="DV71" s="42"/>
      <c r="DW71" s="42"/>
      <c r="DX71" s="42"/>
      <c r="DY71" s="42"/>
      <c r="DZ71" s="42"/>
      <c r="EA71" s="335"/>
      <c r="EB71" s="42"/>
      <c r="EC71" s="42"/>
      <c r="ED71" s="42"/>
      <c r="EE71" s="42"/>
      <c r="EF71" s="42"/>
      <c r="EG71" s="42"/>
      <c r="EH71" s="42"/>
      <c r="EI71" s="42"/>
      <c r="EJ71" s="42"/>
      <c r="EK71" s="42"/>
      <c r="EL71" s="42"/>
      <c r="EM71" s="42"/>
      <c r="EN71" s="42"/>
      <c r="EO71" s="42"/>
      <c r="EP71" s="42"/>
      <c r="EQ71" s="42"/>
      <c r="ER71" s="42"/>
      <c r="ES71" s="42"/>
      <c r="ET71" s="42"/>
      <c r="EU71" s="42"/>
      <c r="EV71" s="42"/>
      <c r="EW71" s="42"/>
      <c r="EX71" s="42"/>
      <c r="EY71" s="42"/>
      <c r="EZ71" s="42"/>
      <c r="FA71" s="42"/>
    </row>
    <row r="72" spans="1:157">
      <c r="Q72" s="77"/>
      <c r="AP72" s="570">
        <v>30</v>
      </c>
      <c r="AQ72" s="331" t="s">
        <v>189</v>
      </c>
      <c r="AR72" s="570">
        <v>30</v>
      </c>
      <c r="AS72" s="317" t="s">
        <v>131</v>
      </c>
      <c r="AT72" s="575">
        <v>30</v>
      </c>
      <c r="AU72" s="336" t="s">
        <v>273</v>
      </c>
      <c r="AV72" s="579">
        <v>30</v>
      </c>
      <c r="AW72" s="42"/>
      <c r="AX72" s="314">
        <v>67</v>
      </c>
      <c r="AY72" s="166" t="s">
        <v>3</v>
      </c>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313" t="str">
        <f t="shared" si="50"/>
        <v>343</v>
      </c>
      <c r="CG72" s="356">
        <v>43282</v>
      </c>
      <c r="CH72" s="356">
        <v>43282</v>
      </c>
      <c r="CI72" s="370" t="s">
        <v>15</v>
      </c>
      <c r="CJ72" s="370"/>
      <c r="CK72" s="371">
        <v>4</v>
      </c>
      <c r="CL72" s="371">
        <v>3</v>
      </c>
      <c r="CM72" s="370">
        <v>3</v>
      </c>
      <c r="CN72" s="494">
        <f>'FPS Pivot Table'!D82</f>
        <v>61.94</v>
      </c>
      <c r="CO72" s="158"/>
      <c r="CP72" s="313" t="str">
        <f t="shared" si="51"/>
        <v>343</v>
      </c>
      <c r="CQ72" s="356">
        <v>43282</v>
      </c>
      <c r="CR72" s="356">
        <v>43282</v>
      </c>
      <c r="CS72" s="370" t="s">
        <v>15</v>
      </c>
      <c r="CT72" s="370"/>
      <c r="CU72" s="371">
        <v>4</v>
      </c>
      <c r="CV72" s="371">
        <v>3</v>
      </c>
      <c r="CW72" s="370">
        <v>3</v>
      </c>
      <c r="CX72" s="494">
        <f>'FPS Pivot Table'!E82</f>
        <v>64.42</v>
      </c>
      <c r="CY72" s="661">
        <f t="shared" si="52"/>
        <v>67</v>
      </c>
      <c r="CZ72" s="158"/>
      <c r="DA72" s="313" t="str">
        <f t="shared" si="48"/>
        <v>343</v>
      </c>
      <c r="DB72" s="356">
        <v>43282</v>
      </c>
      <c r="DC72" s="356">
        <v>43282</v>
      </c>
      <c r="DD72" s="371" t="s">
        <v>375</v>
      </c>
      <c r="DE72" s="371"/>
      <c r="DF72" s="371">
        <v>4</v>
      </c>
      <c r="DG72" s="371">
        <v>3</v>
      </c>
      <c r="DH72" s="371">
        <v>3</v>
      </c>
      <c r="DI72" s="494">
        <f>'FPS Pivot Table'!F82</f>
        <v>140.68</v>
      </c>
      <c r="DJ72" s="42"/>
      <c r="DK72" s="313" t="str">
        <f t="shared" si="49"/>
        <v>343</v>
      </c>
      <c r="DL72" s="356">
        <v>43282</v>
      </c>
      <c r="DM72" s="356">
        <v>43282</v>
      </c>
      <c r="DN72" s="371" t="s">
        <v>375</v>
      </c>
      <c r="DO72" s="371"/>
      <c r="DP72" s="371">
        <v>4</v>
      </c>
      <c r="DQ72" s="371">
        <v>3</v>
      </c>
      <c r="DR72" s="371">
        <v>3</v>
      </c>
      <c r="DS72" s="494">
        <f>'FPS Pivot Table'!G82</f>
        <v>146.31</v>
      </c>
      <c r="DT72" s="661">
        <f t="shared" si="53"/>
        <v>152.16</v>
      </c>
      <c r="DU72" s="42"/>
      <c r="DV72" s="42"/>
      <c r="DW72" s="42"/>
      <c r="DX72" s="42"/>
      <c r="DY72" s="42"/>
      <c r="DZ72" s="42"/>
      <c r="EA72" s="335"/>
      <c r="EB72" s="42"/>
      <c r="EC72" s="42"/>
      <c r="ED72" s="42"/>
      <c r="EE72" s="42"/>
      <c r="EF72" s="42"/>
      <c r="EG72" s="42"/>
      <c r="EH72" s="42"/>
      <c r="EI72" s="42"/>
      <c r="EJ72" s="42"/>
      <c r="EK72" s="42"/>
      <c r="EL72" s="42"/>
      <c r="EM72" s="42"/>
      <c r="EN72" s="42"/>
      <c r="EO72" s="42"/>
      <c r="EP72" s="42"/>
      <c r="EQ72" s="42"/>
      <c r="ER72" s="42"/>
      <c r="ES72" s="42"/>
      <c r="ET72" s="42"/>
      <c r="EU72" s="42"/>
      <c r="EV72" s="42"/>
      <c r="EW72" s="42"/>
      <c r="EX72" s="42"/>
      <c r="EY72" s="42"/>
      <c r="EZ72" s="42"/>
      <c r="FA72" s="42"/>
    </row>
    <row r="73" spans="1:157">
      <c r="D73" s="33"/>
      <c r="Q73" s="77"/>
      <c r="AP73" s="570">
        <v>31</v>
      </c>
      <c r="AQ73" s="331" t="s">
        <v>190</v>
      </c>
      <c r="AR73" s="570">
        <v>31</v>
      </c>
      <c r="AS73" s="317" t="s">
        <v>131</v>
      </c>
      <c r="AT73" s="575">
        <v>31</v>
      </c>
      <c r="AU73" s="336" t="s">
        <v>250</v>
      </c>
      <c r="AV73" s="579">
        <v>31</v>
      </c>
      <c r="AW73" s="42"/>
      <c r="AX73" s="314">
        <v>68</v>
      </c>
      <c r="AY73" s="166" t="s">
        <v>3</v>
      </c>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313" t="str">
        <f t="shared" si="50"/>
        <v>344</v>
      </c>
      <c r="CG73" s="356">
        <v>43282</v>
      </c>
      <c r="CH73" s="356">
        <v>43282</v>
      </c>
      <c r="CI73" s="370" t="s">
        <v>15</v>
      </c>
      <c r="CJ73" s="370"/>
      <c r="CK73" s="371">
        <v>4</v>
      </c>
      <c r="CL73" s="371">
        <v>4</v>
      </c>
      <c r="CM73" s="370">
        <v>3</v>
      </c>
      <c r="CN73" s="494">
        <f>'FPS Pivot Table'!D83</f>
        <v>68.25</v>
      </c>
      <c r="CO73" s="158"/>
      <c r="CP73" s="313" t="str">
        <f t="shared" si="51"/>
        <v>344</v>
      </c>
      <c r="CQ73" s="356">
        <v>43282</v>
      </c>
      <c r="CR73" s="356">
        <v>43282</v>
      </c>
      <c r="CS73" s="370" t="s">
        <v>15</v>
      </c>
      <c r="CT73" s="370"/>
      <c r="CU73" s="371">
        <v>4</v>
      </c>
      <c r="CV73" s="371">
        <v>4</v>
      </c>
      <c r="CW73" s="370">
        <v>3</v>
      </c>
      <c r="CX73" s="494">
        <f>'FPS Pivot Table'!E83</f>
        <v>70.98</v>
      </c>
      <c r="CY73" s="661">
        <f t="shared" si="52"/>
        <v>73.819999999999993</v>
      </c>
      <c r="CZ73" s="158"/>
      <c r="DA73" s="313" t="str">
        <f t="shared" si="48"/>
        <v>344</v>
      </c>
      <c r="DB73" s="356">
        <v>43282</v>
      </c>
      <c r="DC73" s="356">
        <v>43282</v>
      </c>
      <c r="DD73" s="371" t="s">
        <v>375</v>
      </c>
      <c r="DE73" s="371"/>
      <c r="DF73" s="371">
        <v>4</v>
      </c>
      <c r="DG73" s="371">
        <v>4</v>
      </c>
      <c r="DH73" s="371">
        <v>3</v>
      </c>
      <c r="DI73" s="494">
        <f>'FPS Pivot Table'!F83</f>
        <v>146.22</v>
      </c>
      <c r="DJ73" s="42"/>
      <c r="DK73" s="313" t="str">
        <f t="shared" si="49"/>
        <v>344</v>
      </c>
      <c r="DL73" s="356">
        <v>43282</v>
      </c>
      <c r="DM73" s="356">
        <v>43282</v>
      </c>
      <c r="DN73" s="371" t="s">
        <v>375</v>
      </c>
      <c r="DO73" s="371"/>
      <c r="DP73" s="371">
        <v>4</v>
      </c>
      <c r="DQ73" s="371">
        <v>4</v>
      </c>
      <c r="DR73" s="371">
        <v>3</v>
      </c>
      <c r="DS73" s="494">
        <f>'FPS Pivot Table'!G83</f>
        <v>152.07</v>
      </c>
      <c r="DT73" s="661">
        <f t="shared" si="53"/>
        <v>158.15</v>
      </c>
      <c r="DU73" s="42"/>
      <c r="DV73" s="42"/>
      <c r="DW73" s="42"/>
      <c r="DX73" s="42"/>
      <c r="DY73" s="42"/>
      <c r="DZ73" s="42"/>
      <c r="EA73" s="335"/>
      <c r="EB73" s="42"/>
      <c r="EC73" s="42"/>
      <c r="ED73" s="42"/>
      <c r="EE73" s="42"/>
      <c r="EF73" s="42"/>
      <c r="EG73" s="42"/>
      <c r="EH73" s="42"/>
      <c r="EI73" s="42"/>
      <c r="EJ73" s="42"/>
      <c r="EK73" s="42"/>
      <c r="EL73" s="42"/>
      <c r="EM73" s="42"/>
      <c r="EN73" s="42"/>
      <c r="EO73" s="42"/>
      <c r="EP73" s="42"/>
      <c r="EQ73" s="42"/>
      <c r="ER73" s="42"/>
      <c r="ES73" s="42"/>
      <c r="ET73" s="42"/>
      <c r="EU73" s="42"/>
      <c r="EV73" s="42"/>
      <c r="EW73" s="42"/>
      <c r="EX73" s="42"/>
      <c r="EY73" s="42"/>
      <c r="EZ73" s="42"/>
      <c r="FA73" s="42"/>
    </row>
    <row r="74" spans="1:157">
      <c r="E74" s="275"/>
      <c r="F74" s="275"/>
      <c r="G74" s="275"/>
      <c r="I74" t="s">
        <v>487</v>
      </c>
      <c r="Q74" s="77"/>
      <c r="AO74" s="552" t="s">
        <v>239</v>
      </c>
      <c r="AP74" s="570">
        <v>32</v>
      </c>
      <c r="AQ74" s="331" t="s">
        <v>191</v>
      </c>
      <c r="AR74" s="570">
        <v>32</v>
      </c>
      <c r="AS74" s="317" t="s">
        <v>131</v>
      </c>
      <c r="AT74" s="575">
        <v>32</v>
      </c>
      <c r="AU74" s="336" t="s">
        <v>253</v>
      </c>
      <c r="AV74" s="579">
        <v>32</v>
      </c>
      <c r="AW74" s="42"/>
      <c r="AX74" s="314">
        <v>69</v>
      </c>
      <c r="AY74" s="166" t="s">
        <v>3</v>
      </c>
      <c r="AZ74" s="42"/>
      <c r="BA74" s="42"/>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313" t="str">
        <f t="shared" si="50"/>
        <v>345</v>
      </c>
      <c r="CG74" s="356">
        <v>43282</v>
      </c>
      <c r="CH74" s="356">
        <v>43282</v>
      </c>
      <c r="CI74" s="370" t="s">
        <v>15</v>
      </c>
      <c r="CJ74" s="370"/>
      <c r="CK74" s="371">
        <v>4</v>
      </c>
      <c r="CL74" s="371">
        <v>5</v>
      </c>
      <c r="CM74" s="370">
        <v>3</v>
      </c>
      <c r="CN74" s="494">
        <f>'FPS Pivot Table'!D84</f>
        <v>73.77</v>
      </c>
      <c r="CO74" s="158"/>
      <c r="CP74" s="313" t="str">
        <f t="shared" si="51"/>
        <v>345</v>
      </c>
      <c r="CQ74" s="356">
        <v>43282</v>
      </c>
      <c r="CR74" s="356">
        <v>43282</v>
      </c>
      <c r="CS74" s="370" t="s">
        <v>15</v>
      </c>
      <c r="CT74" s="370"/>
      <c r="CU74" s="371">
        <v>4</v>
      </c>
      <c r="CV74" s="371">
        <v>5</v>
      </c>
      <c r="CW74" s="370">
        <v>3</v>
      </c>
      <c r="CX74" s="494">
        <f>'FPS Pivot Table'!E84</f>
        <v>76.72</v>
      </c>
      <c r="CY74" s="661">
        <f t="shared" si="52"/>
        <v>79.790000000000006</v>
      </c>
      <c r="CZ74" s="158"/>
      <c r="DA74" s="313" t="str">
        <f t="shared" si="48"/>
        <v>345</v>
      </c>
      <c r="DB74" s="356">
        <v>43282</v>
      </c>
      <c r="DC74" s="356">
        <v>43282</v>
      </c>
      <c r="DD74" s="371" t="s">
        <v>375</v>
      </c>
      <c r="DE74" s="371"/>
      <c r="DF74" s="371">
        <v>4</v>
      </c>
      <c r="DG74" s="371">
        <v>5</v>
      </c>
      <c r="DH74" s="371">
        <v>3</v>
      </c>
      <c r="DI74" s="494">
        <f>'FPS Pivot Table'!F84</f>
        <v>151.08000000000001</v>
      </c>
      <c r="DJ74" s="42"/>
      <c r="DK74" s="313" t="str">
        <f t="shared" si="49"/>
        <v>345</v>
      </c>
      <c r="DL74" s="356">
        <v>43282</v>
      </c>
      <c r="DM74" s="356">
        <v>43282</v>
      </c>
      <c r="DN74" s="371" t="s">
        <v>375</v>
      </c>
      <c r="DO74" s="371"/>
      <c r="DP74" s="371">
        <v>4</v>
      </c>
      <c r="DQ74" s="371">
        <v>5</v>
      </c>
      <c r="DR74" s="371">
        <v>3</v>
      </c>
      <c r="DS74" s="494">
        <f>'FPS Pivot Table'!G84</f>
        <v>157.12</v>
      </c>
      <c r="DT74" s="661">
        <f t="shared" si="53"/>
        <v>163.4</v>
      </c>
      <c r="DU74" s="42"/>
      <c r="DV74" s="42"/>
      <c r="DW74" s="42"/>
      <c r="DX74" s="42"/>
      <c r="DY74" s="42"/>
      <c r="DZ74" s="42"/>
      <c r="EA74" s="335"/>
      <c r="EB74" s="42"/>
      <c r="EC74" s="42"/>
      <c r="ED74" s="42"/>
      <c r="EE74" s="42"/>
      <c r="EF74" s="42"/>
      <c r="EG74" s="42"/>
      <c r="EH74" s="42"/>
      <c r="EI74" s="42"/>
      <c r="EJ74" s="42"/>
      <c r="EK74" s="42"/>
      <c r="EL74" s="42"/>
      <c r="EM74" s="42"/>
      <c r="EN74" s="42"/>
      <c r="EO74" s="42"/>
      <c r="EP74" s="42"/>
      <c r="EQ74" s="42"/>
      <c r="ER74" s="42"/>
      <c r="ES74" s="42"/>
      <c r="ET74" s="42"/>
      <c r="EU74" s="42"/>
      <c r="EV74" s="42"/>
      <c r="EW74" s="42"/>
      <c r="EX74" s="42"/>
      <c r="EY74" s="42"/>
      <c r="EZ74" s="42"/>
      <c r="FA74" s="42"/>
    </row>
    <row r="75" spans="1:157">
      <c r="F75" s="276"/>
      <c r="G75" s="276"/>
      <c r="Q75" s="77"/>
      <c r="AO75" s="552" t="s">
        <v>240</v>
      </c>
      <c r="AP75" s="570">
        <v>33</v>
      </c>
      <c r="AQ75" s="331" t="s">
        <v>192</v>
      </c>
      <c r="AR75" s="570">
        <v>33</v>
      </c>
      <c r="AS75" s="317" t="s">
        <v>131</v>
      </c>
      <c r="AT75" s="575">
        <v>33</v>
      </c>
      <c r="AU75" s="336" t="s">
        <v>274</v>
      </c>
      <c r="AV75" s="579">
        <v>33</v>
      </c>
      <c r="AW75" s="42"/>
      <c r="AX75" s="314">
        <v>70</v>
      </c>
      <c r="AY75" s="166" t="s">
        <v>3</v>
      </c>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313" t="str">
        <f t="shared" si="50"/>
        <v>351</v>
      </c>
      <c r="CG75" s="356">
        <v>43282</v>
      </c>
      <c r="CH75" s="356">
        <v>43282</v>
      </c>
      <c r="CI75" s="370" t="s">
        <v>15</v>
      </c>
      <c r="CJ75" s="370"/>
      <c r="CK75" s="371">
        <v>5</v>
      </c>
      <c r="CL75" s="371">
        <v>1</v>
      </c>
      <c r="CM75" s="370">
        <v>3</v>
      </c>
      <c r="CN75" s="494">
        <f>'FPS Pivot Table'!D85</f>
        <v>75.709999999999994</v>
      </c>
      <c r="CO75" s="158"/>
      <c r="CP75" s="313" t="str">
        <f t="shared" si="51"/>
        <v>351</v>
      </c>
      <c r="CQ75" s="356">
        <v>43282</v>
      </c>
      <c r="CR75" s="356">
        <v>43282</v>
      </c>
      <c r="CS75" s="370" t="s">
        <v>15</v>
      </c>
      <c r="CT75" s="370"/>
      <c r="CU75" s="371">
        <v>5</v>
      </c>
      <c r="CV75" s="371">
        <v>1</v>
      </c>
      <c r="CW75" s="370">
        <v>3</v>
      </c>
      <c r="CX75" s="494">
        <f>'FPS Pivot Table'!E85</f>
        <v>78.739999999999995</v>
      </c>
      <c r="CY75" s="661">
        <f t="shared" si="52"/>
        <v>81.89</v>
      </c>
      <c r="CZ75" s="158"/>
      <c r="DA75" s="313" t="str">
        <f t="shared" si="48"/>
        <v>351</v>
      </c>
      <c r="DB75" s="356">
        <v>43282</v>
      </c>
      <c r="DC75" s="356">
        <v>43282</v>
      </c>
      <c r="DD75" s="371" t="s">
        <v>375</v>
      </c>
      <c r="DE75" s="371"/>
      <c r="DF75" s="371">
        <v>5</v>
      </c>
      <c r="DG75" s="371">
        <v>1</v>
      </c>
      <c r="DH75" s="371">
        <v>3</v>
      </c>
      <c r="DI75" s="494">
        <f>'FPS Pivot Table'!F85</f>
        <v>192.2</v>
      </c>
      <c r="DJ75" s="42"/>
      <c r="DK75" s="313" t="str">
        <f t="shared" si="49"/>
        <v>351</v>
      </c>
      <c r="DL75" s="356">
        <v>43282</v>
      </c>
      <c r="DM75" s="356">
        <v>43282</v>
      </c>
      <c r="DN75" s="371" t="s">
        <v>375</v>
      </c>
      <c r="DO75" s="371"/>
      <c r="DP75" s="371">
        <v>5</v>
      </c>
      <c r="DQ75" s="371">
        <v>1</v>
      </c>
      <c r="DR75" s="371">
        <v>3</v>
      </c>
      <c r="DS75" s="494">
        <f>'FPS Pivot Table'!G85</f>
        <v>199.89</v>
      </c>
      <c r="DT75" s="661">
        <f t="shared" si="53"/>
        <v>207.89</v>
      </c>
      <c r="DU75" s="42"/>
      <c r="DV75" s="42"/>
      <c r="DW75" s="42"/>
      <c r="DX75" s="42"/>
      <c r="DY75" s="42"/>
      <c r="DZ75" s="42"/>
      <c r="EA75" s="335"/>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row>
    <row r="76" spans="1:157">
      <c r="E76" s="276"/>
      <c r="F76" s="275"/>
      <c r="G76" s="275"/>
      <c r="Q76" s="77"/>
      <c r="AO76" s="552"/>
      <c r="AP76" s="570">
        <v>34</v>
      </c>
      <c r="AQ76" s="331" t="s">
        <v>193</v>
      </c>
      <c r="AR76" s="570">
        <v>34</v>
      </c>
      <c r="AS76" s="317" t="s">
        <v>131</v>
      </c>
      <c r="AT76" s="575">
        <v>34</v>
      </c>
      <c r="AU76" s="336" t="s">
        <v>275</v>
      </c>
      <c r="AV76" s="579">
        <v>34</v>
      </c>
      <c r="AW76" s="42"/>
      <c r="AX76" s="314">
        <v>71</v>
      </c>
      <c r="AY76" s="166" t="s">
        <v>3</v>
      </c>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313" t="str">
        <f t="shared" si="50"/>
        <v>352</v>
      </c>
      <c r="CG76" s="356">
        <v>43282</v>
      </c>
      <c r="CH76" s="356">
        <v>43282</v>
      </c>
      <c r="CI76" s="370" t="s">
        <v>15</v>
      </c>
      <c r="CJ76" s="370"/>
      <c r="CK76" s="371">
        <v>5</v>
      </c>
      <c r="CL76" s="371">
        <v>2</v>
      </c>
      <c r="CM76" s="370">
        <v>3</v>
      </c>
      <c r="CN76" s="494">
        <f>'FPS Pivot Table'!D86</f>
        <v>78.59</v>
      </c>
      <c r="CO76" s="158"/>
      <c r="CP76" s="313" t="str">
        <f t="shared" si="51"/>
        <v>352</v>
      </c>
      <c r="CQ76" s="356">
        <v>43282</v>
      </c>
      <c r="CR76" s="356">
        <v>43282</v>
      </c>
      <c r="CS76" s="370" t="s">
        <v>15</v>
      </c>
      <c r="CT76" s="370"/>
      <c r="CU76" s="371">
        <v>5</v>
      </c>
      <c r="CV76" s="371">
        <v>2</v>
      </c>
      <c r="CW76" s="370">
        <v>3</v>
      </c>
      <c r="CX76" s="494">
        <f>'FPS Pivot Table'!E86</f>
        <v>81.73</v>
      </c>
      <c r="CY76" s="661">
        <f t="shared" si="52"/>
        <v>85</v>
      </c>
      <c r="CZ76" s="158"/>
      <c r="DA76" s="313" t="str">
        <f t="shared" si="48"/>
        <v>352</v>
      </c>
      <c r="DB76" s="356">
        <v>43282</v>
      </c>
      <c r="DC76" s="356">
        <v>43282</v>
      </c>
      <c r="DD76" s="371" t="s">
        <v>375</v>
      </c>
      <c r="DE76" s="371"/>
      <c r="DF76" s="371">
        <v>5</v>
      </c>
      <c r="DG76" s="371">
        <v>2</v>
      </c>
      <c r="DH76" s="371">
        <v>3</v>
      </c>
      <c r="DI76" s="494">
        <f>'FPS Pivot Table'!F86</f>
        <v>194.71</v>
      </c>
      <c r="DJ76" s="42"/>
      <c r="DK76" s="313" t="str">
        <f t="shared" si="49"/>
        <v>352</v>
      </c>
      <c r="DL76" s="356">
        <v>43282</v>
      </c>
      <c r="DM76" s="356">
        <v>43282</v>
      </c>
      <c r="DN76" s="371" t="s">
        <v>375</v>
      </c>
      <c r="DO76" s="371"/>
      <c r="DP76" s="371">
        <v>5</v>
      </c>
      <c r="DQ76" s="371">
        <v>2</v>
      </c>
      <c r="DR76" s="371">
        <v>3</v>
      </c>
      <c r="DS76" s="494">
        <f>'FPS Pivot Table'!G86</f>
        <v>202.5</v>
      </c>
      <c r="DT76" s="661">
        <f t="shared" si="53"/>
        <v>210.6</v>
      </c>
      <c r="DU76" s="42"/>
      <c r="DV76" s="42"/>
      <c r="DW76" s="42"/>
      <c r="DX76" s="42"/>
      <c r="DY76" s="42"/>
      <c r="DZ76" s="42"/>
      <c r="EA76" s="335"/>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row>
    <row r="77" spans="1:157">
      <c r="E77" s="275"/>
      <c r="F77" s="275"/>
      <c r="G77" s="275"/>
      <c r="Q77" s="77"/>
      <c r="AO77" s="552" t="s">
        <v>241</v>
      </c>
      <c r="AP77" s="570">
        <v>35</v>
      </c>
      <c r="AQ77" s="331" t="s">
        <v>194</v>
      </c>
      <c r="AR77" s="570">
        <v>35</v>
      </c>
      <c r="AS77" s="317" t="s">
        <v>131</v>
      </c>
      <c r="AT77" s="575">
        <v>35</v>
      </c>
      <c r="AU77" s="336" t="s">
        <v>276</v>
      </c>
      <c r="AV77" s="579">
        <v>35</v>
      </c>
      <c r="AW77" s="42"/>
      <c r="AX77" s="314">
        <v>72</v>
      </c>
      <c r="AY77" s="166" t="s">
        <v>3</v>
      </c>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313" t="str">
        <f t="shared" si="50"/>
        <v>353</v>
      </c>
      <c r="CG77" s="356">
        <v>43282</v>
      </c>
      <c r="CH77" s="356">
        <v>43282</v>
      </c>
      <c r="CI77" s="370" t="s">
        <v>15</v>
      </c>
      <c r="CJ77" s="370"/>
      <c r="CK77" s="371">
        <v>5</v>
      </c>
      <c r="CL77" s="371">
        <v>3</v>
      </c>
      <c r="CM77" s="370">
        <v>3</v>
      </c>
      <c r="CN77" s="494">
        <f>'FPS Pivot Table'!D87</f>
        <v>83.25</v>
      </c>
      <c r="CO77" s="158"/>
      <c r="CP77" s="313" t="str">
        <f t="shared" si="51"/>
        <v>353</v>
      </c>
      <c r="CQ77" s="356">
        <v>43282</v>
      </c>
      <c r="CR77" s="356">
        <v>43282</v>
      </c>
      <c r="CS77" s="370" t="s">
        <v>15</v>
      </c>
      <c r="CT77" s="370"/>
      <c r="CU77" s="371">
        <v>5</v>
      </c>
      <c r="CV77" s="371">
        <v>3</v>
      </c>
      <c r="CW77" s="370">
        <v>3</v>
      </c>
      <c r="CX77" s="494">
        <f>'FPS Pivot Table'!E87</f>
        <v>86.58</v>
      </c>
      <c r="CY77" s="661">
        <f t="shared" si="52"/>
        <v>90.04</v>
      </c>
      <c r="CZ77" s="158"/>
      <c r="DA77" s="313" t="str">
        <f t="shared" si="48"/>
        <v>353</v>
      </c>
      <c r="DB77" s="356">
        <v>43282</v>
      </c>
      <c r="DC77" s="356">
        <v>43282</v>
      </c>
      <c r="DD77" s="371" t="s">
        <v>375</v>
      </c>
      <c r="DE77" s="371"/>
      <c r="DF77" s="371">
        <v>5</v>
      </c>
      <c r="DG77" s="371">
        <v>3</v>
      </c>
      <c r="DH77" s="371">
        <v>3</v>
      </c>
      <c r="DI77" s="494">
        <f>'FPS Pivot Table'!F87</f>
        <v>198.81</v>
      </c>
      <c r="DJ77" s="42"/>
      <c r="DK77" s="313" t="str">
        <f t="shared" si="49"/>
        <v>353</v>
      </c>
      <c r="DL77" s="356">
        <v>43282</v>
      </c>
      <c r="DM77" s="356">
        <v>43282</v>
      </c>
      <c r="DN77" s="371" t="s">
        <v>375</v>
      </c>
      <c r="DO77" s="371"/>
      <c r="DP77" s="371">
        <v>5</v>
      </c>
      <c r="DQ77" s="371">
        <v>3</v>
      </c>
      <c r="DR77" s="371">
        <v>3</v>
      </c>
      <c r="DS77" s="494">
        <f>'FPS Pivot Table'!G87</f>
        <v>206.76</v>
      </c>
      <c r="DT77" s="661">
        <f t="shared" si="53"/>
        <v>215.03</v>
      </c>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c r="EW77" s="42"/>
      <c r="EX77" s="42"/>
      <c r="EY77" s="42"/>
      <c r="EZ77" s="42"/>
      <c r="FA77" s="42"/>
    </row>
    <row r="78" spans="1:157" ht="15" thickBot="1">
      <c r="E78" s="275"/>
      <c r="F78" s="275"/>
      <c r="G78" s="275"/>
      <c r="Q78" s="77"/>
      <c r="AO78" s="552" t="s">
        <v>242</v>
      </c>
      <c r="AP78" s="571">
        <v>36</v>
      </c>
      <c r="AQ78" s="332" t="s">
        <v>195</v>
      </c>
      <c r="AR78" s="571">
        <v>36</v>
      </c>
      <c r="AS78" s="317" t="s">
        <v>131</v>
      </c>
      <c r="AT78" s="575">
        <v>36</v>
      </c>
      <c r="AU78" s="336" t="s">
        <v>277</v>
      </c>
      <c r="AV78" s="579">
        <v>36</v>
      </c>
      <c r="AW78" s="42"/>
      <c r="AX78" s="314">
        <v>73</v>
      </c>
      <c r="AY78" s="166" t="s">
        <v>3</v>
      </c>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313" t="str">
        <f t="shared" si="50"/>
        <v>354</v>
      </c>
      <c r="CG78" s="356">
        <v>43282</v>
      </c>
      <c r="CH78" s="356">
        <v>43282</v>
      </c>
      <c r="CI78" s="370" t="s">
        <v>15</v>
      </c>
      <c r="CJ78" s="370"/>
      <c r="CK78" s="371">
        <v>5</v>
      </c>
      <c r="CL78" s="371">
        <v>4</v>
      </c>
      <c r="CM78" s="370">
        <v>3</v>
      </c>
      <c r="CN78" s="494">
        <f>'FPS Pivot Table'!D88</f>
        <v>89.55</v>
      </c>
      <c r="CO78" s="158"/>
      <c r="CP78" s="313" t="str">
        <f t="shared" si="51"/>
        <v>354</v>
      </c>
      <c r="CQ78" s="356">
        <v>43282</v>
      </c>
      <c r="CR78" s="356">
        <v>43282</v>
      </c>
      <c r="CS78" s="370" t="s">
        <v>15</v>
      </c>
      <c r="CT78" s="370"/>
      <c r="CU78" s="371">
        <v>5</v>
      </c>
      <c r="CV78" s="371">
        <v>4</v>
      </c>
      <c r="CW78" s="370">
        <v>3</v>
      </c>
      <c r="CX78" s="494">
        <f>'FPS Pivot Table'!E88</f>
        <v>93.13</v>
      </c>
      <c r="CY78" s="661">
        <f t="shared" si="52"/>
        <v>96.86</v>
      </c>
      <c r="CZ78" s="158"/>
      <c r="DA78" s="313" t="str">
        <f t="shared" si="48"/>
        <v>354</v>
      </c>
      <c r="DB78" s="356">
        <v>43282</v>
      </c>
      <c r="DC78" s="356">
        <v>43282</v>
      </c>
      <c r="DD78" s="371" t="s">
        <v>375</v>
      </c>
      <c r="DE78" s="371"/>
      <c r="DF78" s="371">
        <v>5</v>
      </c>
      <c r="DG78" s="371">
        <v>4</v>
      </c>
      <c r="DH78" s="371">
        <v>3</v>
      </c>
      <c r="DI78" s="494">
        <f>'FPS Pivot Table'!F88</f>
        <v>204.34</v>
      </c>
      <c r="DJ78" s="42"/>
      <c r="DK78" s="313" t="str">
        <f t="shared" si="49"/>
        <v>354</v>
      </c>
      <c r="DL78" s="356">
        <v>43282</v>
      </c>
      <c r="DM78" s="356">
        <v>43282</v>
      </c>
      <c r="DN78" s="371" t="s">
        <v>375</v>
      </c>
      <c r="DO78" s="371"/>
      <c r="DP78" s="371">
        <v>5</v>
      </c>
      <c r="DQ78" s="371">
        <v>4</v>
      </c>
      <c r="DR78" s="371">
        <v>3</v>
      </c>
      <c r="DS78" s="494">
        <f>'FPS Pivot Table'!G88</f>
        <v>212.51</v>
      </c>
      <c r="DT78" s="661">
        <f t="shared" si="53"/>
        <v>221.01</v>
      </c>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row>
    <row r="79" spans="1:157" ht="15" thickBot="1">
      <c r="Q79" s="32"/>
      <c r="AP79" s="572">
        <v>37</v>
      </c>
      <c r="AQ79" s="42" t="s">
        <v>184</v>
      </c>
      <c r="AR79" s="572">
        <v>37</v>
      </c>
      <c r="AS79" s="348" t="s">
        <v>131</v>
      </c>
      <c r="AT79" s="575">
        <v>37</v>
      </c>
      <c r="AU79" s="336" t="s">
        <v>278</v>
      </c>
      <c r="AV79" s="579">
        <v>37</v>
      </c>
      <c r="AW79" s="42"/>
      <c r="AX79" s="314">
        <v>74</v>
      </c>
      <c r="AY79" s="166" t="s">
        <v>3</v>
      </c>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313" t="str">
        <f t="shared" si="50"/>
        <v>355</v>
      </c>
      <c r="CG79" s="356">
        <v>43282</v>
      </c>
      <c r="CH79" s="356">
        <v>43282</v>
      </c>
      <c r="CI79" s="370" t="s">
        <v>15</v>
      </c>
      <c r="CJ79" s="370"/>
      <c r="CK79" s="371">
        <v>5</v>
      </c>
      <c r="CL79" s="371">
        <v>5</v>
      </c>
      <c r="CM79" s="370">
        <v>3</v>
      </c>
      <c r="CN79" s="494">
        <f>'FPS Pivot Table'!D89</f>
        <v>95.09</v>
      </c>
      <c r="CO79" s="158"/>
      <c r="CP79" s="313" t="str">
        <f t="shared" si="51"/>
        <v>355</v>
      </c>
      <c r="CQ79" s="356">
        <v>43282</v>
      </c>
      <c r="CR79" s="356">
        <v>43282</v>
      </c>
      <c r="CS79" s="370" t="s">
        <v>15</v>
      </c>
      <c r="CT79" s="370"/>
      <c r="CU79" s="371">
        <v>5</v>
      </c>
      <c r="CV79" s="371">
        <v>5</v>
      </c>
      <c r="CW79" s="370">
        <v>3</v>
      </c>
      <c r="CX79" s="494">
        <f>'FPS Pivot Table'!E89</f>
        <v>98.89</v>
      </c>
      <c r="CY79" s="661">
        <f t="shared" si="52"/>
        <v>102.85</v>
      </c>
      <c r="CZ79" s="158"/>
      <c r="DA79" s="313" t="str">
        <f t="shared" si="48"/>
        <v>355</v>
      </c>
      <c r="DB79" s="356">
        <v>43282</v>
      </c>
      <c r="DC79" s="356">
        <v>43282</v>
      </c>
      <c r="DD79" s="371" t="s">
        <v>375</v>
      </c>
      <c r="DE79" s="371"/>
      <c r="DF79" s="371">
        <v>5</v>
      </c>
      <c r="DG79" s="371">
        <v>5</v>
      </c>
      <c r="DH79" s="371">
        <v>3</v>
      </c>
      <c r="DI79" s="494">
        <f>'FPS Pivot Table'!F89</f>
        <v>209.21</v>
      </c>
      <c r="DJ79" s="42"/>
      <c r="DK79" s="313" t="str">
        <f t="shared" si="49"/>
        <v>355</v>
      </c>
      <c r="DL79" s="356">
        <v>43282</v>
      </c>
      <c r="DM79" s="356">
        <v>43282</v>
      </c>
      <c r="DN79" s="371" t="s">
        <v>375</v>
      </c>
      <c r="DO79" s="371"/>
      <c r="DP79" s="371">
        <v>5</v>
      </c>
      <c r="DQ79" s="371">
        <v>5</v>
      </c>
      <c r="DR79" s="371">
        <v>3</v>
      </c>
      <c r="DS79" s="494">
        <f>'FPS Pivot Table'!G89</f>
        <v>217.58</v>
      </c>
      <c r="DT79" s="661">
        <f t="shared" si="53"/>
        <v>226.28</v>
      </c>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row>
    <row r="80" spans="1:157">
      <c r="K80" t="s">
        <v>487</v>
      </c>
      <c r="Q80" s="32"/>
      <c r="AP80" s="572">
        <v>38</v>
      </c>
      <c r="AQ80" s="42" t="s">
        <v>185</v>
      </c>
      <c r="AR80" s="572">
        <v>38</v>
      </c>
      <c r="AS80" s="42" t="s">
        <v>131</v>
      </c>
      <c r="AT80" s="575">
        <v>38</v>
      </c>
      <c r="AU80" s="336" t="s">
        <v>279</v>
      </c>
      <c r="AV80" s="579">
        <v>38</v>
      </c>
      <c r="AW80" s="42"/>
      <c r="AX80" s="314">
        <v>75</v>
      </c>
      <c r="AY80" s="166" t="s">
        <v>3</v>
      </c>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313" t="str">
        <f t="shared" si="50"/>
        <v>411</v>
      </c>
      <c r="CG80" s="356">
        <v>43282</v>
      </c>
      <c r="CH80" s="356">
        <v>43282</v>
      </c>
      <c r="CI80" s="370" t="s">
        <v>15</v>
      </c>
      <c r="CJ80" s="370"/>
      <c r="CK80" s="371">
        <v>1</v>
      </c>
      <c r="CL80" s="371">
        <v>1</v>
      </c>
      <c r="CM80" s="370">
        <v>4</v>
      </c>
      <c r="CN80" s="494">
        <f>'FPS Pivot Table'!D90</f>
        <v>27.69</v>
      </c>
      <c r="CO80" s="158"/>
      <c r="CP80" s="313" t="str">
        <f t="shared" si="51"/>
        <v>411</v>
      </c>
      <c r="CQ80" s="356">
        <v>43282</v>
      </c>
      <c r="CR80" s="356">
        <v>43282</v>
      </c>
      <c r="CS80" s="370" t="s">
        <v>15</v>
      </c>
      <c r="CT80" s="370"/>
      <c r="CU80" s="371">
        <v>1</v>
      </c>
      <c r="CV80" s="371">
        <v>1</v>
      </c>
      <c r="CW80" s="370">
        <v>4</v>
      </c>
      <c r="CX80" s="494">
        <f>'FPS Pivot Table'!E90</f>
        <v>28.8</v>
      </c>
      <c r="CY80" s="661">
        <f t="shared" si="52"/>
        <v>29.95</v>
      </c>
      <c r="CZ80" s="158"/>
      <c r="DA80" s="313" t="str">
        <f t="shared" si="48"/>
        <v>411</v>
      </c>
      <c r="DB80" s="356">
        <v>43282</v>
      </c>
      <c r="DC80" s="356">
        <v>43282</v>
      </c>
      <c r="DD80" s="371" t="s">
        <v>375</v>
      </c>
      <c r="DE80" s="371"/>
      <c r="DF80" s="371">
        <v>1</v>
      </c>
      <c r="DG80" s="371">
        <v>1</v>
      </c>
      <c r="DH80" s="371">
        <v>4</v>
      </c>
      <c r="DI80" s="494">
        <f>'FPS Pivot Table'!F90</f>
        <v>27.12</v>
      </c>
      <c r="DJ80" s="42"/>
      <c r="DK80" s="313" t="str">
        <f t="shared" si="49"/>
        <v>411</v>
      </c>
      <c r="DL80" s="356">
        <v>43282</v>
      </c>
      <c r="DM80" s="356">
        <v>43282</v>
      </c>
      <c r="DN80" s="371" t="s">
        <v>375</v>
      </c>
      <c r="DO80" s="371"/>
      <c r="DP80" s="371">
        <v>1</v>
      </c>
      <c r="DQ80" s="371">
        <v>1</v>
      </c>
      <c r="DR80" s="371">
        <v>4</v>
      </c>
      <c r="DS80" s="494">
        <f>'FPS Pivot Table'!G90</f>
        <v>28.2</v>
      </c>
      <c r="DT80" s="661">
        <f t="shared" si="53"/>
        <v>29.33</v>
      </c>
      <c r="DU80" s="42"/>
      <c r="DV80" s="42"/>
      <c r="DW80" s="42"/>
      <c r="DX80" s="42"/>
      <c r="DY80" s="42"/>
      <c r="DZ80" s="42"/>
      <c r="EA80" s="42"/>
      <c r="EB80" s="42"/>
      <c r="EC80" s="42"/>
      <c r="ED80" s="42"/>
      <c r="EE80" s="42"/>
      <c r="EF80" s="42"/>
      <c r="EG80" s="42"/>
      <c r="EH80" s="42"/>
      <c r="EI80" s="42"/>
      <c r="EJ80" s="42"/>
      <c r="EK80" s="42"/>
      <c r="EL80" s="42"/>
      <c r="EM80" s="42"/>
      <c r="EN80" s="42"/>
      <c r="EO80" s="42"/>
      <c r="EP80" s="42"/>
      <c r="EQ80" s="42"/>
      <c r="ER80" s="42"/>
      <c r="ES80" s="42"/>
      <c r="ET80" s="42"/>
      <c r="EU80" s="42"/>
      <c r="EV80" s="42"/>
      <c r="EW80" s="42"/>
      <c r="EX80" s="42"/>
      <c r="EY80" s="42"/>
      <c r="EZ80" s="42"/>
      <c r="FA80" s="42"/>
    </row>
    <row r="81" spans="13:157">
      <c r="Q81" s="32"/>
      <c r="AP81" s="572">
        <v>39</v>
      </c>
      <c r="AQ81" s="42" t="s">
        <v>186</v>
      </c>
      <c r="AR81" s="572">
        <v>39</v>
      </c>
      <c r="AS81" s="42" t="s">
        <v>131</v>
      </c>
      <c r="AT81" s="575">
        <v>39</v>
      </c>
      <c r="AU81" s="336" t="s">
        <v>280</v>
      </c>
      <c r="AV81" s="579">
        <v>39</v>
      </c>
      <c r="AW81" s="42"/>
      <c r="AX81" s="314">
        <v>76</v>
      </c>
      <c r="AY81" s="166" t="s">
        <v>3</v>
      </c>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313" t="str">
        <f t="shared" si="50"/>
        <v>412</v>
      </c>
      <c r="CG81" s="356">
        <v>43282</v>
      </c>
      <c r="CH81" s="356">
        <v>43282</v>
      </c>
      <c r="CI81" s="370" t="s">
        <v>15</v>
      </c>
      <c r="CJ81" s="370"/>
      <c r="CK81" s="371">
        <v>1</v>
      </c>
      <c r="CL81" s="371">
        <v>2</v>
      </c>
      <c r="CM81" s="370">
        <v>4</v>
      </c>
      <c r="CN81" s="494">
        <f>'FPS Pivot Table'!D91</f>
        <v>30.56</v>
      </c>
      <c r="CO81" s="158"/>
      <c r="CP81" s="313" t="str">
        <f t="shared" si="51"/>
        <v>412</v>
      </c>
      <c r="CQ81" s="356">
        <v>43282</v>
      </c>
      <c r="CR81" s="356">
        <v>43282</v>
      </c>
      <c r="CS81" s="370" t="s">
        <v>15</v>
      </c>
      <c r="CT81" s="370"/>
      <c r="CU81" s="371">
        <v>1</v>
      </c>
      <c r="CV81" s="371">
        <v>2</v>
      </c>
      <c r="CW81" s="370">
        <v>4</v>
      </c>
      <c r="CX81" s="494">
        <f>'FPS Pivot Table'!E91</f>
        <v>31.78</v>
      </c>
      <c r="CY81" s="661">
        <f t="shared" si="52"/>
        <v>33.049999999999997</v>
      </c>
      <c r="CZ81" s="158"/>
      <c r="DA81" s="313" t="str">
        <f t="shared" si="48"/>
        <v>412</v>
      </c>
      <c r="DB81" s="356">
        <v>43282</v>
      </c>
      <c r="DC81" s="356">
        <v>43282</v>
      </c>
      <c r="DD81" s="371" t="s">
        <v>375</v>
      </c>
      <c r="DE81" s="377"/>
      <c r="DF81" s="377">
        <v>1</v>
      </c>
      <c r="DG81" s="377">
        <v>2</v>
      </c>
      <c r="DH81" s="377">
        <v>4</v>
      </c>
      <c r="DI81" s="494">
        <f>'FPS Pivot Table'!F91</f>
        <v>29.65</v>
      </c>
      <c r="DJ81" s="42"/>
      <c r="DK81" s="313" t="str">
        <f t="shared" si="49"/>
        <v>412</v>
      </c>
      <c r="DL81" s="356">
        <v>43282</v>
      </c>
      <c r="DM81" s="356">
        <v>43282</v>
      </c>
      <c r="DN81" s="371" t="s">
        <v>375</v>
      </c>
      <c r="DO81" s="377"/>
      <c r="DP81" s="377">
        <v>1</v>
      </c>
      <c r="DQ81" s="377">
        <v>2</v>
      </c>
      <c r="DR81" s="377">
        <v>4</v>
      </c>
      <c r="DS81" s="494">
        <f>'FPS Pivot Table'!G91</f>
        <v>30.84</v>
      </c>
      <c r="DT81" s="661">
        <f t="shared" si="53"/>
        <v>32.07</v>
      </c>
      <c r="DU81" s="42"/>
      <c r="DV81" s="42"/>
      <c r="DW81" s="42"/>
      <c r="DX81" s="42"/>
      <c r="DY81" s="42"/>
      <c r="DZ81" s="42"/>
      <c r="EA81" s="42"/>
      <c r="EB81" s="42"/>
      <c r="EC81" s="42"/>
      <c r="ED81" s="42"/>
      <c r="EE81" s="42"/>
      <c r="EF81" s="42"/>
      <c r="EG81" s="42"/>
      <c r="EH81" s="42"/>
      <c r="EI81" s="42"/>
      <c r="EJ81" s="42"/>
      <c r="EK81" s="42"/>
      <c r="EL81" s="42"/>
      <c r="EM81" s="42"/>
      <c r="EN81" s="42"/>
      <c r="EO81" s="42"/>
      <c r="EP81" s="42"/>
      <c r="EQ81" s="42"/>
      <c r="ER81" s="42"/>
      <c r="ES81" s="42"/>
      <c r="ET81" s="42"/>
      <c r="EU81" s="42"/>
      <c r="EV81" s="42"/>
      <c r="EW81" s="42"/>
      <c r="EX81" s="42"/>
      <c r="EY81" s="42"/>
      <c r="EZ81" s="42"/>
      <c r="FA81" s="42"/>
    </row>
    <row r="82" spans="13:157">
      <c r="Q82" s="32"/>
      <c r="AP82" s="572">
        <v>40</v>
      </c>
      <c r="AQ82" s="42" t="s">
        <v>187</v>
      </c>
      <c r="AR82" s="572">
        <v>40</v>
      </c>
      <c r="AS82" s="42" t="s">
        <v>131</v>
      </c>
      <c r="AT82" s="575">
        <v>40</v>
      </c>
      <c r="AU82" s="336" t="s">
        <v>281</v>
      </c>
      <c r="AV82" s="579">
        <v>40</v>
      </c>
      <c r="AW82" s="42"/>
      <c r="AX82" s="314">
        <v>77</v>
      </c>
      <c r="AY82" s="166" t="s">
        <v>3</v>
      </c>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313" t="str">
        <f t="shared" si="50"/>
        <v>413</v>
      </c>
      <c r="CG82" s="356">
        <v>43282</v>
      </c>
      <c r="CH82" s="356">
        <v>43282</v>
      </c>
      <c r="CI82" s="370" t="s">
        <v>15</v>
      </c>
      <c r="CJ82" s="370"/>
      <c r="CK82" s="371">
        <v>1</v>
      </c>
      <c r="CL82" s="371">
        <v>3</v>
      </c>
      <c r="CM82" s="370">
        <v>4</v>
      </c>
      <c r="CN82" s="494">
        <f>'FPS Pivot Table'!D92</f>
        <v>35.229999999999997</v>
      </c>
      <c r="CO82" s="158"/>
      <c r="CP82" s="313" t="str">
        <f t="shared" si="51"/>
        <v>413</v>
      </c>
      <c r="CQ82" s="356">
        <v>43282</v>
      </c>
      <c r="CR82" s="356">
        <v>43282</v>
      </c>
      <c r="CS82" s="370" t="s">
        <v>15</v>
      </c>
      <c r="CT82" s="370"/>
      <c r="CU82" s="371">
        <v>1</v>
      </c>
      <c r="CV82" s="371">
        <v>3</v>
      </c>
      <c r="CW82" s="370">
        <v>4</v>
      </c>
      <c r="CX82" s="494">
        <f>'FPS Pivot Table'!E92</f>
        <v>36.64</v>
      </c>
      <c r="CY82" s="661">
        <f t="shared" si="52"/>
        <v>38.11</v>
      </c>
      <c r="CZ82" s="158"/>
      <c r="DA82" s="313" t="str">
        <f t="shared" si="48"/>
        <v>413</v>
      </c>
      <c r="DB82" s="356">
        <v>43282</v>
      </c>
      <c r="DC82" s="356">
        <v>43282</v>
      </c>
      <c r="DD82" s="371" t="s">
        <v>375</v>
      </c>
      <c r="DE82" s="377"/>
      <c r="DF82" s="377">
        <v>1</v>
      </c>
      <c r="DG82" s="377">
        <v>3</v>
      </c>
      <c r="DH82" s="377">
        <v>4</v>
      </c>
      <c r="DI82" s="494">
        <f>'FPS Pivot Table'!F92</f>
        <v>33.76</v>
      </c>
      <c r="DJ82" s="42"/>
      <c r="DK82" s="313" t="str">
        <f t="shared" si="49"/>
        <v>413</v>
      </c>
      <c r="DL82" s="356">
        <v>43282</v>
      </c>
      <c r="DM82" s="356">
        <v>43282</v>
      </c>
      <c r="DN82" s="371" t="s">
        <v>375</v>
      </c>
      <c r="DO82" s="377"/>
      <c r="DP82" s="377">
        <v>1</v>
      </c>
      <c r="DQ82" s="377">
        <v>3</v>
      </c>
      <c r="DR82" s="377">
        <v>4</v>
      </c>
      <c r="DS82" s="494">
        <f>'FPS Pivot Table'!G92</f>
        <v>35.11</v>
      </c>
      <c r="DT82" s="661">
        <f t="shared" si="53"/>
        <v>36.51</v>
      </c>
      <c r="DU82" s="42"/>
      <c r="DV82" s="42"/>
      <c r="DW82" s="42"/>
      <c r="DX82" s="42"/>
      <c r="DY82" s="42"/>
      <c r="DZ82" s="42"/>
      <c r="EA82" s="42"/>
      <c r="EB82" s="42"/>
      <c r="EC82" s="42"/>
      <c r="ED82" s="42"/>
      <c r="EE82" s="42"/>
      <c r="EF82" s="42"/>
      <c r="EG82" s="42"/>
      <c r="EH82" s="42"/>
      <c r="EI82" s="42"/>
      <c r="EJ82" s="42"/>
      <c r="EK82" s="42"/>
      <c r="EL82" s="42"/>
      <c r="EM82" s="42"/>
      <c r="EN82" s="42"/>
      <c r="EO82" s="42"/>
      <c r="EP82" s="42"/>
      <c r="EQ82" s="42"/>
      <c r="ER82" s="42"/>
      <c r="ES82" s="42"/>
      <c r="ET82" s="42"/>
      <c r="EU82" s="42"/>
      <c r="EV82" s="42"/>
      <c r="EW82" s="42"/>
      <c r="EX82" s="42"/>
      <c r="EY82" s="42"/>
      <c r="EZ82" s="42"/>
      <c r="FA82" s="42"/>
    </row>
    <row r="83" spans="13:157">
      <c r="Q83" s="32"/>
      <c r="AP83" s="572">
        <v>41</v>
      </c>
      <c r="AQ83" s="42" t="s">
        <v>188</v>
      </c>
      <c r="AR83" s="572">
        <v>41</v>
      </c>
      <c r="AS83" s="42" t="s">
        <v>131</v>
      </c>
      <c r="AT83" s="575">
        <v>41</v>
      </c>
      <c r="AU83" s="336" t="s">
        <v>282</v>
      </c>
      <c r="AV83" s="579">
        <v>41</v>
      </c>
      <c r="AW83" s="42"/>
      <c r="AX83" s="314">
        <v>78</v>
      </c>
      <c r="AY83" s="166" t="s">
        <v>3</v>
      </c>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313" t="str">
        <f t="shared" si="50"/>
        <v>414</v>
      </c>
      <c r="CG83" s="356">
        <v>43282</v>
      </c>
      <c r="CH83" s="356">
        <v>43282</v>
      </c>
      <c r="CI83" s="370" t="s">
        <v>15</v>
      </c>
      <c r="CJ83" s="370"/>
      <c r="CK83" s="371">
        <v>1</v>
      </c>
      <c r="CL83" s="371">
        <v>4</v>
      </c>
      <c r="CM83" s="370">
        <v>4</v>
      </c>
      <c r="CN83" s="494">
        <f>'FPS Pivot Table'!D93</f>
        <v>41.56</v>
      </c>
      <c r="CO83" s="158"/>
      <c r="CP83" s="313" t="str">
        <f t="shared" si="51"/>
        <v>414</v>
      </c>
      <c r="CQ83" s="356">
        <v>43282</v>
      </c>
      <c r="CR83" s="356">
        <v>43282</v>
      </c>
      <c r="CS83" s="370" t="s">
        <v>15</v>
      </c>
      <c r="CT83" s="370"/>
      <c r="CU83" s="371">
        <v>1</v>
      </c>
      <c r="CV83" s="371">
        <v>4</v>
      </c>
      <c r="CW83" s="370">
        <v>4</v>
      </c>
      <c r="CX83" s="494">
        <f>'FPS Pivot Table'!E93</f>
        <v>43.22</v>
      </c>
      <c r="CY83" s="661">
        <f t="shared" si="52"/>
        <v>44.95</v>
      </c>
      <c r="CZ83" s="158"/>
      <c r="DA83" s="313" t="str">
        <f t="shared" si="48"/>
        <v>414</v>
      </c>
      <c r="DB83" s="356">
        <v>43282</v>
      </c>
      <c r="DC83" s="356">
        <v>43282</v>
      </c>
      <c r="DD83" s="371" t="s">
        <v>375</v>
      </c>
      <c r="DE83" s="377"/>
      <c r="DF83" s="377">
        <v>1</v>
      </c>
      <c r="DG83" s="377">
        <v>4</v>
      </c>
      <c r="DH83" s="377">
        <v>4</v>
      </c>
      <c r="DI83" s="494">
        <f>'FPS Pivot Table'!F93</f>
        <v>39.299999999999997</v>
      </c>
      <c r="DJ83" s="42"/>
      <c r="DK83" s="313" t="str">
        <f t="shared" si="49"/>
        <v>414</v>
      </c>
      <c r="DL83" s="356">
        <v>43282</v>
      </c>
      <c r="DM83" s="356">
        <v>43282</v>
      </c>
      <c r="DN83" s="371" t="s">
        <v>375</v>
      </c>
      <c r="DO83" s="377"/>
      <c r="DP83" s="377">
        <v>1</v>
      </c>
      <c r="DQ83" s="377">
        <v>4</v>
      </c>
      <c r="DR83" s="377">
        <v>4</v>
      </c>
      <c r="DS83" s="494">
        <f>'FPS Pivot Table'!G93</f>
        <v>40.869999999999997</v>
      </c>
      <c r="DT83" s="661">
        <f t="shared" si="53"/>
        <v>42.5</v>
      </c>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c r="EW83" s="42"/>
      <c r="EX83" s="42"/>
      <c r="EY83" s="42"/>
      <c r="EZ83" s="42"/>
      <c r="FA83" s="42"/>
    </row>
    <row r="84" spans="13:157">
      <c r="Q84" s="32"/>
      <c r="AP84" s="572">
        <v>42</v>
      </c>
      <c r="AQ84" s="42" t="s">
        <v>189</v>
      </c>
      <c r="AR84" s="572">
        <v>42</v>
      </c>
      <c r="AS84" s="42" t="s">
        <v>131</v>
      </c>
      <c r="AT84" s="575">
        <v>42</v>
      </c>
      <c r="AU84" s="336" t="s">
        <v>283</v>
      </c>
      <c r="AV84" s="579">
        <v>42</v>
      </c>
      <c r="AW84" s="42"/>
      <c r="AX84" s="314">
        <v>79</v>
      </c>
      <c r="AY84" s="166" t="s">
        <v>3</v>
      </c>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313" t="str">
        <f t="shared" si="50"/>
        <v>415</v>
      </c>
      <c r="CG84" s="356">
        <v>43282</v>
      </c>
      <c r="CH84" s="356">
        <v>43282</v>
      </c>
      <c r="CI84" s="370" t="s">
        <v>15</v>
      </c>
      <c r="CJ84" s="370"/>
      <c r="CK84" s="371">
        <v>1</v>
      </c>
      <c r="CL84" s="371">
        <v>5</v>
      </c>
      <c r="CM84" s="370">
        <v>4</v>
      </c>
      <c r="CN84" s="494">
        <f>'FPS Pivot Table'!D94</f>
        <v>47.1</v>
      </c>
      <c r="CO84" s="158"/>
      <c r="CP84" s="313" t="str">
        <f t="shared" si="51"/>
        <v>415</v>
      </c>
      <c r="CQ84" s="356">
        <v>43282</v>
      </c>
      <c r="CR84" s="356">
        <v>43282</v>
      </c>
      <c r="CS84" s="370" t="s">
        <v>15</v>
      </c>
      <c r="CT84" s="370"/>
      <c r="CU84" s="371">
        <v>1</v>
      </c>
      <c r="CV84" s="371">
        <v>5</v>
      </c>
      <c r="CW84" s="370">
        <v>4</v>
      </c>
      <c r="CX84" s="494">
        <f>'FPS Pivot Table'!E94</f>
        <v>48.98</v>
      </c>
      <c r="CY84" s="661">
        <f t="shared" si="52"/>
        <v>50.94</v>
      </c>
      <c r="CZ84" s="158"/>
      <c r="DA84" s="313" t="str">
        <f t="shared" si="48"/>
        <v>415</v>
      </c>
      <c r="DB84" s="356">
        <v>43282</v>
      </c>
      <c r="DC84" s="356">
        <v>43282</v>
      </c>
      <c r="DD84" s="371" t="s">
        <v>375</v>
      </c>
      <c r="DE84" s="377"/>
      <c r="DF84" s="377">
        <v>1</v>
      </c>
      <c r="DG84" s="377">
        <v>5</v>
      </c>
      <c r="DH84" s="377">
        <v>4</v>
      </c>
      <c r="DI84" s="494">
        <f>'FPS Pivot Table'!F94</f>
        <v>44.14</v>
      </c>
      <c r="DJ84" s="42"/>
      <c r="DK84" s="313" t="str">
        <f t="shared" si="49"/>
        <v>415</v>
      </c>
      <c r="DL84" s="356">
        <v>43282</v>
      </c>
      <c r="DM84" s="356">
        <v>43282</v>
      </c>
      <c r="DN84" s="371" t="s">
        <v>375</v>
      </c>
      <c r="DO84" s="377"/>
      <c r="DP84" s="377">
        <v>1</v>
      </c>
      <c r="DQ84" s="377">
        <v>5</v>
      </c>
      <c r="DR84" s="377">
        <v>4</v>
      </c>
      <c r="DS84" s="494">
        <f>'FPS Pivot Table'!G94</f>
        <v>45.91</v>
      </c>
      <c r="DT84" s="661">
        <f t="shared" si="53"/>
        <v>47.75</v>
      </c>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c r="EW84" s="42"/>
      <c r="EX84" s="42"/>
      <c r="EY84" s="42"/>
      <c r="EZ84" s="42"/>
      <c r="FA84" s="42"/>
    </row>
    <row r="85" spans="13:157">
      <c r="Q85" s="32"/>
      <c r="AP85" s="572">
        <v>43</v>
      </c>
      <c r="AQ85" s="42" t="s">
        <v>190</v>
      </c>
      <c r="AR85" s="572">
        <v>43</v>
      </c>
      <c r="AS85" s="42" t="s">
        <v>131</v>
      </c>
      <c r="AT85" s="576">
        <v>43</v>
      </c>
      <c r="AU85" s="415" t="s">
        <v>481</v>
      </c>
      <c r="AV85" s="576">
        <v>43</v>
      </c>
      <c r="AW85" s="42"/>
      <c r="AX85" s="314">
        <v>80</v>
      </c>
      <c r="AY85" s="166" t="s">
        <v>3</v>
      </c>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313" t="str">
        <f t="shared" si="50"/>
        <v>421</v>
      </c>
      <c r="CG85" s="356">
        <v>43282</v>
      </c>
      <c r="CH85" s="356">
        <v>43282</v>
      </c>
      <c r="CI85" s="370" t="s">
        <v>15</v>
      </c>
      <c r="CJ85" s="370"/>
      <c r="CK85" s="371">
        <v>2</v>
      </c>
      <c r="CL85" s="371">
        <v>1</v>
      </c>
      <c r="CM85" s="370">
        <v>4</v>
      </c>
      <c r="CN85" s="494">
        <f>'FPS Pivot Table'!D95</f>
        <v>33.090000000000003</v>
      </c>
      <c r="CO85" s="158"/>
      <c r="CP85" s="313" t="str">
        <f t="shared" si="51"/>
        <v>421</v>
      </c>
      <c r="CQ85" s="356">
        <v>43282</v>
      </c>
      <c r="CR85" s="356">
        <v>43282</v>
      </c>
      <c r="CS85" s="370" t="s">
        <v>15</v>
      </c>
      <c r="CT85" s="370"/>
      <c r="CU85" s="371">
        <v>2</v>
      </c>
      <c r="CV85" s="371">
        <v>1</v>
      </c>
      <c r="CW85" s="370">
        <v>4</v>
      </c>
      <c r="CX85" s="494">
        <f>'FPS Pivot Table'!E95</f>
        <v>34.409999999999997</v>
      </c>
      <c r="CY85" s="661">
        <f t="shared" si="52"/>
        <v>35.79</v>
      </c>
      <c r="CZ85" s="158"/>
      <c r="DA85" s="313" t="str">
        <f t="shared" si="48"/>
        <v>421</v>
      </c>
      <c r="DB85" s="356">
        <v>43282</v>
      </c>
      <c r="DC85" s="356">
        <v>43282</v>
      </c>
      <c r="DD85" s="371" t="s">
        <v>375</v>
      </c>
      <c r="DE85" s="377"/>
      <c r="DF85" s="377">
        <v>2</v>
      </c>
      <c r="DG85" s="377">
        <v>1</v>
      </c>
      <c r="DH85" s="377">
        <v>4</v>
      </c>
      <c r="DI85" s="494">
        <f>'FPS Pivot Table'!F95</f>
        <v>48.54</v>
      </c>
      <c r="DJ85" s="42"/>
      <c r="DK85" s="313" t="str">
        <f t="shared" si="49"/>
        <v>421</v>
      </c>
      <c r="DL85" s="356">
        <v>43282</v>
      </c>
      <c r="DM85" s="356">
        <v>43282</v>
      </c>
      <c r="DN85" s="371" t="s">
        <v>375</v>
      </c>
      <c r="DO85" s="377"/>
      <c r="DP85" s="377">
        <v>2</v>
      </c>
      <c r="DQ85" s="377">
        <v>1</v>
      </c>
      <c r="DR85" s="377">
        <v>4</v>
      </c>
      <c r="DS85" s="494">
        <f>'FPS Pivot Table'!G95</f>
        <v>50.48</v>
      </c>
      <c r="DT85" s="661">
        <f t="shared" si="53"/>
        <v>52.5</v>
      </c>
      <c r="DU85" s="42"/>
      <c r="DV85" s="42"/>
      <c r="DW85" s="42"/>
      <c r="DX85" s="42"/>
      <c r="DY85" s="42"/>
      <c r="DZ85" s="42"/>
      <c r="EA85" s="42"/>
      <c r="EB85" s="42"/>
      <c r="EC85" s="42"/>
      <c r="ED85" s="42"/>
      <c r="EE85" s="42"/>
      <c r="EF85" s="42"/>
      <c r="EG85" s="42"/>
      <c r="EH85" s="42"/>
      <c r="EI85" s="42"/>
      <c r="EJ85" s="42"/>
      <c r="EK85" s="42"/>
      <c r="EL85" s="42"/>
      <c r="EM85" s="42"/>
      <c r="EN85" s="42"/>
      <c r="EO85" s="42"/>
      <c r="EP85" s="42"/>
      <c r="EQ85" s="42"/>
      <c r="ER85" s="42"/>
      <c r="ES85" s="42"/>
      <c r="ET85" s="42"/>
      <c r="EU85" s="42"/>
      <c r="EV85" s="42"/>
      <c r="EW85" s="42"/>
      <c r="EX85" s="42"/>
      <c r="EY85" s="42"/>
      <c r="EZ85" s="42"/>
      <c r="FA85" s="42"/>
    </row>
    <row r="86" spans="13:157">
      <c r="Q86" s="32"/>
      <c r="AP86" s="572">
        <v>44</v>
      </c>
      <c r="AQ86" s="42" t="s">
        <v>191</v>
      </c>
      <c r="AR86" s="572">
        <v>44</v>
      </c>
      <c r="AS86" s="42" t="s">
        <v>131</v>
      </c>
      <c r="AT86" s="576">
        <v>44</v>
      </c>
      <c r="AU86" s="415" t="s">
        <v>482</v>
      </c>
      <c r="AV86" s="576">
        <v>44</v>
      </c>
      <c r="AW86" s="42"/>
      <c r="AX86" s="314">
        <v>81</v>
      </c>
      <c r="AY86" s="166" t="s">
        <v>3</v>
      </c>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313" t="str">
        <f t="shared" si="50"/>
        <v>422</v>
      </c>
      <c r="CG86" s="356">
        <v>43282</v>
      </c>
      <c r="CH86" s="356">
        <v>43282</v>
      </c>
      <c r="CI86" s="370" t="s">
        <v>15</v>
      </c>
      <c r="CJ86" s="370"/>
      <c r="CK86" s="371">
        <v>2</v>
      </c>
      <c r="CL86" s="371">
        <v>2</v>
      </c>
      <c r="CM86" s="370">
        <v>4</v>
      </c>
      <c r="CN86" s="494">
        <f>'FPS Pivot Table'!D96</f>
        <v>35.950000000000003</v>
      </c>
      <c r="CO86" s="158"/>
      <c r="CP86" s="313" t="str">
        <f t="shared" si="51"/>
        <v>422</v>
      </c>
      <c r="CQ86" s="356">
        <v>43282</v>
      </c>
      <c r="CR86" s="356">
        <v>43282</v>
      </c>
      <c r="CS86" s="370" t="s">
        <v>15</v>
      </c>
      <c r="CT86" s="370"/>
      <c r="CU86" s="371">
        <v>2</v>
      </c>
      <c r="CV86" s="371">
        <v>2</v>
      </c>
      <c r="CW86" s="370">
        <v>4</v>
      </c>
      <c r="CX86" s="494">
        <f>'FPS Pivot Table'!E96</f>
        <v>37.39</v>
      </c>
      <c r="CY86" s="661">
        <f t="shared" si="52"/>
        <v>38.89</v>
      </c>
      <c r="CZ86" s="158"/>
      <c r="DA86" s="313" t="str">
        <f t="shared" si="48"/>
        <v>422</v>
      </c>
      <c r="DB86" s="356">
        <v>43282</v>
      </c>
      <c r="DC86" s="356">
        <v>43282</v>
      </c>
      <c r="DD86" s="371" t="s">
        <v>375</v>
      </c>
      <c r="DE86" s="377"/>
      <c r="DF86" s="377">
        <v>2</v>
      </c>
      <c r="DG86" s="377">
        <v>2</v>
      </c>
      <c r="DH86" s="377">
        <v>4</v>
      </c>
      <c r="DI86" s="494">
        <f>'FPS Pivot Table'!F96</f>
        <v>51.08</v>
      </c>
      <c r="DJ86" s="42"/>
      <c r="DK86" s="313" t="str">
        <f t="shared" si="49"/>
        <v>422</v>
      </c>
      <c r="DL86" s="356">
        <v>43282</v>
      </c>
      <c r="DM86" s="356">
        <v>43282</v>
      </c>
      <c r="DN86" s="371" t="s">
        <v>375</v>
      </c>
      <c r="DO86" s="377"/>
      <c r="DP86" s="377">
        <v>2</v>
      </c>
      <c r="DQ86" s="377">
        <v>2</v>
      </c>
      <c r="DR86" s="377">
        <v>4</v>
      </c>
      <c r="DS86" s="494">
        <f>'FPS Pivot Table'!G96</f>
        <v>53.12</v>
      </c>
      <c r="DT86" s="661">
        <f t="shared" si="53"/>
        <v>55.24</v>
      </c>
      <c r="DU86" s="42"/>
      <c r="DV86" s="42"/>
      <c r="DW86" s="42"/>
      <c r="DX86" s="42"/>
      <c r="DY86" s="42"/>
      <c r="DZ86" s="42"/>
      <c r="EA86" s="42"/>
      <c r="EB86" s="42"/>
      <c r="EC86" s="42"/>
      <c r="ED86" s="42"/>
      <c r="EE86" s="42"/>
      <c r="EF86" s="42"/>
      <c r="EG86" s="42"/>
      <c r="EH86" s="42"/>
      <c r="EI86" s="42"/>
      <c r="EJ86" s="42"/>
      <c r="EK86" s="42"/>
      <c r="EL86" s="42"/>
      <c r="EM86" s="42"/>
      <c r="EN86" s="42"/>
      <c r="EO86" s="42"/>
      <c r="EP86" s="42"/>
      <c r="EQ86" s="42"/>
      <c r="ER86" s="42"/>
      <c r="ES86" s="42"/>
      <c r="ET86" s="42"/>
      <c r="EU86" s="42"/>
      <c r="EV86" s="42"/>
      <c r="EW86" s="42"/>
      <c r="EX86" s="42"/>
      <c r="EY86" s="42"/>
      <c r="EZ86" s="42"/>
      <c r="FA86" s="42"/>
    </row>
    <row r="87" spans="13:157">
      <c r="Q87" s="32"/>
      <c r="AP87" s="572">
        <v>45</v>
      </c>
      <c r="AQ87" s="42" t="s">
        <v>192</v>
      </c>
      <c r="AR87" s="572">
        <v>45</v>
      </c>
      <c r="AS87" s="42" t="s">
        <v>131</v>
      </c>
      <c r="AT87" s="576">
        <v>45</v>
      </c>
      <c r="AU87" s="415" t="s">
        <v>483</v>
      </c>
      <c r="AV87" s="576">
        <v>45</v>
      </c>
      <c r="AW87" s="42"/>
      <c r="AX87" s="314">
        <v>82</v>
      </c>
      <c r="AY87" s="166" t="s">
        <v>3</v>
      </c>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313" t="str">
        <f t="shared" si="50"/>
        <v>423</v>
      </c>
      <c r="CG87" s="356">
        <v>43282</v>
      </c>
      <c r="CH87" s="356">
        <v>43282</v>
      </c>
      <c r="CI87" s="370" t="s">
        <v>15</v>
      </c>
      <c r="CJ87" s="370"/>
      <c r="CK87" s="371">
        <v>2</v>
      </c>
      <c r="CL87" s="371">
        <v>3</v>
      </c>
      <c r="CM87" s="370">
        <v>4</v>
      </c>
      <c r="CN87" s="494">
        <f>'FPS Pivot Table'!D97</f>
        <v>40.65</v>
      </c>
      <c r="CO87" s="158"/>
      <c r="CP87" s="313" t="str">
        <f t="shared" si="51"/>
        <v>423</v>
      </c>
      <c r="CQ87" s="356">
        <v>43282</v>
      </c>
      <c r="CR87" s="356">
        <v>43282</v>
      </c>
      <c r="CS87" s="370" t="s">
        <v>15</v>
      </c>
      <c r="CT87" s="370"/>
      <c r="CU87" s="371">
        <v>2</v>
      </c>
      <c r="CV87" s="371">
        <v>3</v>
      </c>
      <c r="CW87" s="370">
        <v>4</v>
      </c>
      <c r="CX87" s="494">
        <f>'FPS Pivot Table'!E97</f>
        <v>42.28</v>
      </c>
      <c r="CY87" s="661">
        <f t="shared" si="52"/>
        <v>43.97</v>
      </c>
      <c r="CZ87" s="158"/>
      <c r="DA87" s="313" t="str">
        <f t="shared" si="48"/>
        <v>423</v>
      </c>
      <c r="DB87" s="356">
        <v>43282</v>
      </c>
      <c r="DC87" s="356">
        <v>43282</v>
      </c>
      <c r="DD87" s="371" t="s">
        <v>375</v>
      </c>
      <c r="DE87" s="377"/>
      <c r="DF87" s="377">
        <v>2</v>
      </c>
      <c r="DG87" s="377">
        <v>3</v>
      </c>
      <c r="DH87" s="377">
        <v>4</v>
      </c>
      <c r="DI87" s="494">
        <f>'FPS Pivot Table'!F97</f>
        <v>55.17</v>
      </c>
      <c r="DJ87" s="42"/>
      <c r="DK87" s="313" t="str">
        <f t="shared" si="49"/>
        <v>423</v>
      </c>
      <c r="DL87" s="356">
        <v>43282</v>
      </c>
      <c r="DM87" s="356">
        <v>43282</v>
      </c>
      <c r="DN87" s="371" t="s">
        <v>375</v>
      </c>
      <c r="DO87" s="377"/>
      <c r="DP87" s="377">
        <v>2</v>
      </c>
      <c r="DQ87" s="377">
        <v>3</v>
      </c>
      <c r="DR87" s="377">
        <v>4</v>
      </c>
      <c r="DS87" s="494">
        <f>'FPS Pivot Table'!G97</f>
        <v>57.38</v>
      </c>
      <c r="DT87" s="661">
        <f t="shared" si="53"/>
        <v>59.68</v>
      </c>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row>
    <row r="88" spans="13:157">
      <c r="Q88" s="32"/>
      <c r="AP88" s="572">
        <v>46</v>
      </c>
      <c r="AQ88" s="42" t="s">
        <v>193</v>
      </c>
      <c r="AR88" s="572">
        <v>46</v>
      </c>
      <c r="AS88" s="42" t="s">
        <v>131</v>
      </c>
      <c r="AT88" s="576">
        <v>46</v>
      </c>
      <c r="AU88" s="415" t="s">
        <v>484</v>
      </c>
      <c r="AV88" s="576">
        <v>46</v>
      </c>
      <c r="AW88" s="42"/>
      <c r="AX88" s="314">
        <v>83</v>
      </c>
      <c r="AY88" s="166" t="s">
        <v>4</v>
      </c>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313" t="str">
        <f t="shared" si="50"/>
        <v>424</v>
      </c>
      <c r="CG88" s="356">
        <v>43282</v>
      </c>
      <c r="CH88" s="356">
        <v>43282</v>
      </c>
      <c r="CI88" s="370" t="s">
        <v>15</v>
      </c>
      <c r="CJ88" s="370"/>
      <c r="CK88" s="371">
        <v>2</v>
      </c>
      <c r="CL88" s="371">
        <v>4</v>
      </c>
      <c r="CM88" s="370">
        <v>4</v>
      </c>
      <c r="CN88" s="494">
        <f>'FPS Pivot Table'!D98</f>
        <v>46.9</v>
      </c>
      <c r="CO88" s="158"/>
      <c r="CP88" s="313" t="str">
        <f t="shared" si="51"/>
        <v>424</v>
      </c>
      <c r="CQ88" s="356">
        <v>43282</v>
      </c>
      <c r="CR88" s="356">
        <v>43282</v>
      </c>
      <c r="CS88" s="370" t="s">
        <v>15</v>
      </c>
      <c r="CT88" s="370"/>
      <c r="CU88" s="371">
        <v>2</v>
      </c>
      <c r="CV88" s="371">
        <v>4</v>
      </c>
      <c r="CW88" s="370">
        <v>4</v>
      </c>
      <c r="CX88" s="494">
        <f>'FPS Pivot Table'!E98</f>
        <v>48.78</v>
      </c>
      <c r="CY88" s="661">
        <f t="shared" si="52"/>
        <v>50.73</v>
      </c>
      <c r="CZ88" s="158"/>
      <c r="DA88" s="313" t="str">
        <f t="shared" si="48"/>
        <v>424</v>
      </c>
      <c r="DB88" s="356">
        <v>43282</v>
      </c>
      <c r="DC88" s="356">
        <v>43282</v>
      </c>
      <c r="DD88" s="371" t="s">
        <v>375</v>
      </c>
      <c r="DE88" s="377"/>
      <c r="DF88" s="377">
        <v>2</v>
      </c>
      <c r="DG88" s="377">
        <v>4</v>
      </c>
      <c r="DH88" s="377">
        <v>4</v>
      </c>
      <c r="DI88" s="494">
        <f>'FPS Pivot Table'!F98</f>
        <v>60.72</v>
      </c>
      <c r="DJ88" s="42"/>
      <c r="DK88" s="313" t="str">
        <f t="shared" si="49"/>
        <v>424</v>
      </c>
      <c r="DL88" s="356">
        <v>43282</v>
      </c>
      <c r="DM88" s="356">
        <v>43282</v>
      </c>
      <c r="DN88" s="371" t="s">
        <v>375</v>
      </c>
      <c r="DO88" s="377"/>
      <c r="DP88" s="377">
        <v>2</v>
      </c>
      <c r="DQ88" s="377">
        <v>4</v>
      </c>
      <c r="DR88" s="377">
        <v>4</v>
      </c>
      <c r="DS88" s="494">
        <f>'FPS Pivot Table'!G98</f>
        <v>63.15</v>
      </c>
      <c r="DT88" s="661">
        <f t="shared" si="53"/>
        <v>65.680000000000007</v>
      </c>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row>
    <row r="89" spans="13:157">
      <c r="M89" s="177"/>
      <c r="Q89" s="32"/>
      <c r="AP89" s="572">
        <v>47</v>
      </c>
      <c r="AQ89" s="42" t="s">
        <v>194</v>
      </c>
      <c r="AR89" s="572">
        <v>47</v>
      </c>
      <c r="AS89" s="42" t="s">
        <v>131</v>
      </c>
      <c r="AT89" s="576">
        <v>47</v>
      </c>
      <c r="AU89" s="415" t="s">
        <v>485</v>
      </c>
      <c r="AV89" s="576">
        <v>47</v>
      </c>
      <c r="AW89" s="42"/>
      <c r="AX89" s="314">
        <v>84</v>
      </c>
      <c r="AY89" s="166" t="s">
        <v>4</v>
      </c>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313" t="str">
        <f t="shared" si="50"/>
        <v>425</v>
      </c>
      <c r="CG89" s="356">
        <v>43282</v>
      </c>
      <c r="CH89" s="356">
        <v>43282</v>
      </c>
      <c r="CI89" s="370" t="s">
        <v>15</v>
      </c>
      <c r="CJ89" s="370"/>
      <c r="CK89" s="371">
        <v>2</v>
      </c>
      <c r="CL89" s="371">
        <v>5</v>
      </c>
      <c r="CM89" s="370">
        <v>4</v>
      </c>
      <c r="CN89" s="494">
        <f>'FPS Pivot Table'!D99</f>
        <v>52.46</v>
      </c>
      <c r="CO89" s="158"/>
      <c r="CP89" s="313" t="str">
        <f t="shared" si="51"/>
        <v>425</v>
      </c>
      <c r="CQ89" s="356">
        <v>43282</v>
      </c>
      <c r="CR89" s="356">
        <v>43282</v>
      </c>
      <c r="CS89" s="370" t="s">
        <v>15</v>
      </c>
      <c r="CT89" s="370"/>
      <c r="CU89" s="371">
        <v>2</v>
      </c>
      <c r="CV89" s="371">
        <v>5</v>
      </c>
      <c r="CW89" s="370">
        <v>4</v>
      </c>
      <c r="CX89" s="494">
        <f>'FPS Pivot Table'!E99</f>
        <v>54.56</v>
      </c>
      <c r="CY89" s="661">
        <f t="shared" si="52"/>
        <v>56.74</v>
      </c>
      <c r="CZ89" s="158"/>
      <c r="DA89" s="313" t="str">
        <f t="shared" si="48"/>
        <v>425</v>
      </c>
      <c r="DB89" s="356">
        <v>43282</v>
      </c>
      <c r="DC89" s="356">
        <v>43282</v>
      </c>
      <c r="DD89" s="371" t="s">
        <v>375</v>
      </c>
      <c r="DE89" s="371"/>
      <c r="DF89" s="371">
        <v>2</v>
      </c>
      <c r="DG89" s="371">
        <v>5</v>
      </c>
      <c r="DH89" s="371">
        <v>4</v>
      </c>
      <c r="DI89" s="494">
        <f>'FPS Pivot Table'!F99</f>
        <v>65.58</v>
      </c>
      <c r="DJ89" s="42"/>
      <c r="DK89" s="313" t="str">
        <f t="shared" si="49"/>
        <v>425</v>
      </c>
      <c r="DL89" s="356">
        <v>43282</v>
      </c>
      <c r="DM89" s="356">
        <v>43282</v>
      </c>
      <c r="DN89" s="371" t="s">
        <v>375</v>
      </c>
      <c r="DO89" s="371"/>
      <c r="DP89" s="371">
        <v>2</v>
      </c>
      <c r="DQ89" s="371">
        <v>5</v>
      </c>
      <c r="DR89" s="371">
        <v>4</v>
      </c>
      <c r="DS89" s="494">
        <f>'FPS Pivot Table'!G99</f>
        <v>68.2</v>
      </c>
      <c r="DT89" s="661">
        <f t="shared" si="53"/>
        <v>70.930000000000007</v>
      </c>
      <c r="DU89" s="42"/>
      <c r="DV89" s="42"/>
      <c r="DW89" s="42"/>
      <c r="DX89" s="42"/>
      <c r="DY89" s="42"/>
      <c r="DZ89" s="42"/>
      <c r="EA89" s="42"/>
      <c r="EB89" s="42"/>
      <c r="EC89" s="42"/>
      <c r="ED89" s="42"/>
      <c r="EE89" s="42"/>
      <c r="EF89" s="42"/>
      <c r="EG89" s="42"/>
      <c r="EH89" s="42"/>
      <c r="EI89" s="42"/>
      <c r="EJ89" s="42"/>
      <c r="EK89" s="42"/>
      <c r="EL89" s="42"/>
      <c r="EM89" s="42"/>
      <c r="EN89" s="42"/>
      <c r="EO89" s="42"/>
      <c r="EP89" s="42"/>
      <c r="EQ89" s="42"/>
      <c r="ER89" s="42"/>
      <c r="ES89" s="42"/>
      <c r="ET89" s="42"/>
      <c r="EU89" s="42"/>
      <c r="EV89" s="42"/>
      <c r="EW89" s="42"/>
      <c r="EX89" s="42"/>
      <c r="EY89" s="42"/>
      <c r="EZ89" s="42"/>
      <c r="FA89" s="42"/>
    </row>
    <row r="90" spans="13:157" ht="15" thickBot="1">
      <c r="M90" s="177"/>
      <c r="Q90" s="32"/>
      <c r="AP90" s="573">
        <v>48</v>
      </c>
      <c r="AQ90" s="42" t="s">
        <v>195</v>
      </c>
      <c r="AR90" s="572">
        <v>48</v>
      </c>
      <c r="AS90" s="42" t="s">
        <v>131</v>
      </c>
      <c r="AT90" s="577">
        <v>48</v>
      </c>
      <c r="AU90" s="416" t="s">
        <v>486</v>
      </c>
      <c r="AV90" s="577">
        <v>48</v>
      </c>
      <c r="AW90" s="42"/>
      <c r="AX90" s="314">
        <v>85</v>
      </c>
      <c r="AY90" s="166" t="s">
        <v>4</v>
      </c>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313" t="str">
        <f t="shared" si="50"/>
        <v>431</v>
      </c>
      <c r="CG90" s="356">
        <v>43282</v>
      </c>
      <c r="CH90" s="356">
        <v>43282</v>
      </c>
      <c r="CI90" s="370" t="s">
        <v>15</v>
      </c>
      <c r="CJ90" s="370"/>
      <c r="CK90" s="371">
        <v>3</v>
      </c>
      <c r="CL90" s="371">
        <v>1</v>
      </c>
      <c r="CM90" s="370">
        <v>4</v>
      </c>
      <c r="CN90" s="494">
        <f>'FPS Pivot Table'!D100</f>
        <v>43.58</v>
      </c>
      <c r="CO90" s="158"/>
      <c r="CP90" s="313" t="str">
        <f t="shared" si="51"/>
        <v>431</v>
      </c>
      <c r="CQ90" s="356">
        <v>43282</v>
      </c>
      <c r="CR90" s="356">
        <v>43282</v>
      </c>
      <c r="CS90" s="370" t="s">
        <v>15</v>
      </c>
      <c r="CT90" s="370"/>
      <c r="CU90" s="371">
        <v>3</v>
      </c>
      <c r="CV90" s="371">
        <v>1</v>
      </c>
      <c r="CW90" s="370">
        <v>4</v>
      </c>
      <c r="CX90" s="494">
        <f>'FPS Pivot Table'!E100</f>
        <v>45.32</v>
      </c>
      <c r="CY90" s="661">
        <f t="shared" si="52"/>
        <v>47.13</v>
      </c>
      <c r="CZ90" s="158"/>
      <c r="DA90" s="313" t="str">
        <f t="shared" si="48"/>
        <v>431</v>
      </c>
      <c r="DB90" s="356">
        <v>43282</v>
      </c>
      <c r="DC90" s="356">
        <v>43282</v>
      </c>
      <c r="DD90" s="371" t="s">
        <v>375</v>
      </c>
      <c r="DE90" s="371"/>
      <c r="DF90" s="371">
        <v>3</v>
      </c>
      <c r="DG90" s="371">
        <v>1</v>
      </c>
      <c r="DH90" s="371">
        <v>4</v>
      </c>
      <c r="DI90" s="494">
        <f>'FPS Pivot Table'!F100</f>
        <v>82.74</v>
      </c>
      <c r="DJ90" s="42"/>
      <c r="DK90" s="313" t="str">
        <f t="shared" si="49"/>
        <v>431</v>
      </c>
      <c r="DL90" s="356">
        <v>43282</v>
      </c>
      <c r="DM90" s="356">
        <v>43282</v>
      </c>
      <c r="DN90" s="371" t="s">
        <v>375</v>
      </c>
      <c r="DO90" s="371"/>
      <c r="DP90" s="371">
        <v>3</v>
      </c>
      <c r="DQ90" s="371">
        <v>1</v>
      </c>
      <c r="DR90" s="371">
        <v>4</v>
      </c>
      <c r="DS90" s="494">
        <f>'FPS Pivot Table'!G100</f>
        <v>86.05</v>
      </c>
      <c r="DT90" s="661">
        <f t="shared" si="53"/>
        <v>89.49</v>
      </c>
      <c r="DU90" s="42"/>
      <c r="DV90" s="42"/>
      <c r="DW90" s="42"/>
      <c r="DX90" s="42"/>
      <c r="DY90" s="42"/>
      <c r="DZ90" s="42"/>
      <c r="EA90" s="42"/>
      <c r="EB90" s="42"/>
      <c r="EC90" s="42"/>
      <c r="ED90" s="42"/>
      <c r="EE90" s="42"/>
      <c r="EF90" s="42"/>
      <c r="EG90" s="42"/>
      <c r="EH90" s="42"/>
      <c r="EI90" s="42"/>
      <c r="EJ90" s="42"/>
      <c r="EK90" s="42"/>
      <c r="EL90" s="42"/>
      <c r="EM90" s="42"/>
      <c r="EN90" s="42"/>
      <c r="EO90" s="42"/>
      <c r="EP90" s="42"/>
      <c r="EQ90" s="42"/>
      <c r="ER90" s="42"/>
      <c r="ES90" s="42"/>
      <c r="ET90" s="42"/>
      <c r="EU90" s="42"/>
      <c r="EV90" s="42"/>
      <c r="EW90" s="42"/>
      <c r="EX90" s="42"/>
      <c r="EY90" s="42"/>
      <c r="EZ90" s="42"/>
      <c r="FA90" s="42"/>
    </row>
    <row r="91" spans="13:157">
      <c r="M91" s="177"/>
      <c r="Q91" s="32"/>
      <c r="AP91" s="572">
        <v>49</v>
      </c>
      <c r="AQ91" s="42" t="s">
        <v>184</v>
      </c>
      <c r="AR91" s="572">
        <v>49</v>
      </c>
      <c r="AS91" s="42"/>
      <c r="AT91" s="575">
        <v>49</v>
      </c>
      <c r="AU91" s="415" t="s">
        <v>497</v>
      </c>
      <c r="AV91" s="579">
        <v>49</v>
      </c>
      <c r="AW91" s="42"/>
      <c r="AX91" s="314">
        <v>86</v>
      </c>
      <c r="AY91" s="166" t="s">
        <v>4</v>
      </c>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313" t="str">
        <f t="shared" si="50"/>
        <v>432</v>
      </c>
      <c r="CG91" s="356">
        <v>43282</v>
      </c>
      <c r="CH91" s="356">
        <v>43282</v>
      </c>
      <c r="CI91" s="370" t="s">
        <v>15</v>
      </c>
      <c r="CJ91" s="370"/>
      <c r="CK91" s="371">
        <v>3</v>
      </c>
      <c r="CL91" s="371">
        <v>2</v>
      </c>
      <c r="CM91" s="370">
        <v>4</v>
      </c>
      <c r="CN91" s="494">
        <f>'FPS Pivot Table'!D101</f>
        <v>46.48</v>
      </c>
      <c r="CO91" s="158"/>
      <c r="CP91" s="313" t="str">
        <f t="shared" si="51"/>
        <v>432</v>
      </c>
      <c r="CQ91" s="356">
        <v>43282</v>
      </c>
      <c r="CR91" s="356">
        <v>43282</v>
      </c>
      <c r="CS91" s="370" t="s">
        <v>15</v>
      </c>
      <c r="CT91" s="370"/>
      <c r="CU91" s="371">
        <v>3</v>
      </c>
      <c r="CV91" s="371">
        <v>2</v>
      </c>
      <c r="CW91" s="370">
        <v>4</v>
      </c>
      <c r="CX91" s="494">
        <f>'FPS Pivot Table'!E101</f>
        <v>48.34</v>
      </c>
      <c r="CY91" s="661">
        <f t="shared" si="52"/>
        <v>50.27</v>
      </c>
      <c r="CZ91" s="158"/>
      <c r="DA91" s="313" t="str">
        <f t="shared" si="48"/>
        <v>432</v>
      </c>
      <c r="DB91" s="356">
        <v>43282</v>
      </c>
      <c r="DC91" s="356">
        <v>43282</v>
      </c>
      <c r="DD91" s="371" t="s">
        <v>375</v>
      </c>
      <c r="DE91" s="371"/>
      <c r="DF91" s="371">
        <v>3</v>
      </c>
      <c r="DG91" s="371">
        <v>2</v>
      </c>
      <c r="DH91" s="371">
        <v>4</v>
      </c>
      <c r="DI91" s="494">
        <f>'FPS Pivot Table'!F101</f>
        <v>85.31</v>
      </c>
      <c r="DJ91" s="42"/>
      <c r="DK91" s="313" t="str">
        <f t="shared" si="49"/>
        <v>432</v>
      </c>
      <c r="DL91" s="356">
        <v>43282</v>
      </c>
      <c r="DM91" s="356">
        <v>43282</v>
      </c>
      <c r="DN91" s="371" t="s">
        <v>375</v>
      </c>
      <c r="DO91" s="371"/>
      <c r="DP91" s="371">
        <v>3</v>
      </c>
      <c r="DQ91" s="371">
        <v>2</v>
      </c>
      <c r="DR91" s="371">
        <v>4</v>
      </c>
      <c r="DS91" s="494">
        <f>'FPS Pivot Table'!G101</f>
        <v>88.72</v>
      </c>
      <c r="DT91" s="661">
        <f t="shared" si="53"/>
        <v>92.27</v>
      </c>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row>
    <row r="92" spans="13:157">
      <c r="M92" s="177"/>
      <c r="Q92" s="32"/>
      <c r="AP92" s="572">
        <v>50</v>
      </c>
      <c r="AQ92" s="42" t="s">
        <v>185</v>
      </c>
      <c r="AR92" s="572">
        <v>50</v>
      </c>
      <c r="AS92" s="42"/>
      <c r="AT92" s="575">
        <v>50</v>
      </c>
      <c r="AU92" s="415" t="s">
        <v>498</v>
      </c>
      <c r="AV92" s="579">
        <v>50</v>
      </c>
      <c r="AW92" s="42"/>
      <c r="AX92" s="314">
        <v>87</v>
      </c>
      <c r="AY92" s="166" t="s">
        <v>4</v>
      </c>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313" t="str">
        <f t="shared" si="50"/>
        <v>433</v>
      </c>
      <c r="CG92" s="356">
        <v>43282</v>
      </c>
      <c r="CH92" s="356">
        <v>43282</v>
      </c>
      <c r="CI92" s="370" t="s">
        <v>15</v>
      </c>
      <c r="CJ92" s="370"/>
      <c r="CK92" s="371">
        <v>3</v>
      </c>
      <c r="CL92" s="371">
        <v>3</v>
      </c>
      <c r="CM92" s="370">
        <v>4</v>
      </c>
      <c r="CN92" s="494">
        <f>'FPS Pivot Table'!D102</f>
        <v>51.15</v>
      </c>
      <c r="CO92" s="158"/>
      <c r="CP92" s="313" t="str">
        <f t="shared" si="51"/>
        <v>433</v>
      </c>
      <c r="CQ92" s="356">
        <v>43282</v>
      </c>
      <c r="CR92" s="356">
        <v>43282</v>
      </c>
      <c r="CS92" s="370" t="s">
        <v>15</v>
      </c>
      <c r="CT92" s="370"/>
      <c r="CU92" s="371">
        <v>3</v>
      </c>
      <c r="CV92" s="371">
        <v>3</v>
      </c>
      <c r="CW92" s="370">
        <v>4</v>
      </c>
      <c r="CX92" s="494">
        <f>'FPS Pivot Table'!E102</f>
        <v>53.2</v>
      </c>
      <c r="CY92" s="661">
        <f t="shared" si="52"/>
        <v>55.33</v>
      </c>
      <c r="CZ92" s="158"/>
      <c r="DA92" s="313" t="str">
        <f t="shared" si="48"/>
        <v>433</v>
      </c>
      <c r="DB92" s="356">
        <v>43282</v>
      </c>
      <c r="DC92" s="356">
        <v>43282</v>
      </c>
      <c r="DD92" s="371" t="s">
        <v>375</v>
      </c>
      <c r="DE92" s="371"/>
      <c r="DF92" s="371">
        <v>3</v>
      </c>
      <c r="DG92" s="371">
        <v>3</v>
      </c>
      <c r="DH92" s="371">
        <v>4</v>
      </c>
      <c r="DI92" s="494">
        <f>'FPS Pivot Table'!F102</f>
        <v>89.36</v>
      </c>
      <c r="DJ92" s="42"/>
      <c r="DK92" s="313" t="str">
        <f t="shared" si="49"/>
        <v>433</v>
      </c>
      <c r="DL92" s="356">
        <v>43282</v>
      </c>
      <c r="DM92" s="356">
        <v>43282</v>
      </c>
      <c r="DN92" s="371" t="s">
        <v>375</v>
      </c>
      <c r="DO92" s="371"/>
      <c r="DP92" s="371">
        <v>3</v>
      </c>
      <c r="DQ92" s="371">
        <v>3</v>
      </c>
      <c r="DR92" s="371">
        <v>4</v>
      </c>
      <c r="DS92" s="494">
        <f>'FPS Pivot Table'!G102</f>
        <v>92.93</v>
      </c>
      <c r="DT92" s="661">
        <f t="shared" si="53"/>
        <v>96.65</v>
      </c>
      <c r="DU92" s="42"/>
      <c r="DV92" s="42"/>
      <c r="DW92" s="42"/>
      <c r="DX92" s="42"/>
      <c r="DY92" s="42"/>
      <c r="DZ92" s="42"/>
      <c r="EA92" s="42"/>
      <c r="EB92" s="42"/>
      <c r="EC92" s="42"/>
      <c r="ED92" s="42"/>
      <c r="EE92" s="42"/>
      <c r="EF92" s="42"/>
      <c r="EG92" s="42"/>
      <c r="EH92" s="42"/>
      <c r="EI92" s="42"/>
      <c r="EJ92" s="42"/>
      <c r="EK92" s="42"/>
      <c r="EL92" s="42"/>
      <c r="EM92" s="42"/>
      <c r="EN92" s="42"/>
      <c r="EO92" s="42"/>
      <c r="EP92" s="42"/>
      <c r="EQ92" s="42"/>
      <c r="ER92" s="42"/>
      <c r="ES92" s="42"/>
      <c r="ET92" s="42"/>
      <c r="EU92" s="42"/>
      <c r="EV92" s="42"/>
      <c r="EW92" s="42"/>
      <c r="EX92" s="42"/>
      <c r="EY92" s="42"/>
      <c r="EZ92" s="42"/>
      <c r="FA92" s="42"/>
    </row>
    <row r="93" spans="13:157">
      <c r="M93" s="177"/>
      <c r="Q93" s="32"/>
      <c r="AP93" s="572">
        <v>51</v>
      </c>
      <c r="AQ93" s="42" t="s">
        <v>186</v>
      </c>
      <c r="AR93" s="572">
        <v>51</v>
      </c>
      <c r="AS93" s="42"/>
      <c r="AT93" s="575">
        <v>51</v>
      </c>
      <c r="AU93" s="415" t="s">
        <v>499</v>
      </c>
      <c r="AV93" s="579">
        <v>51</v>
      </c>
      <c r="AW93" s="42"/>
      <c r="AX93" s="314">
        <v>88</v>
      </c>
      <c r="AY93" s="166" t="s">
        <v>4</v>
      </c>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313" t="str">
        <f t="shared" si="50"/>
        <v>434</v>
      </c>
      <c r="CG93" s="356">
        <v>43282</v>
      </c>
      <c r="CH93" s="356">
        <v>43282</v>
      </c>
      <c r="CI93" s="370" t="s">
        <v>15</v>
      </c>
      <c r="CJ93" s="370"/>
      <c r="CK93" s="371">
        <v>3</v>
      </c>
      <c r="CL93" s="371">
        <v>4</v>
      </c>
      <c r="CM93" s="370">
        <v>4</v>
      </c>
      <c r="CN93" s="494">
        <f>'FPS Pivot Table'!D103</f>
        <v>57.42</v>
      </c>
      <c r="CO93" s="158"/>
      <c r="CP93" s="313" t="str">
        <f t="shared" si="51"/>
        <v>434</v>
      </c>
      <c r="CQ93" s="356">
        <v>43282</v>
      </c>
      <c r="CR93" s="356">
        <v>43282</v>
      </c>
      <c r="CS93" s="370" t="s">
        <v>15</v>
      </c>
      <c r="CT93" s="370"/>
      <c r="CU93" s="371">
        <v>3</v>
      </c>
      <c r="CV93" s="371">
        <v>4</v>
      </c>
      <c r="CW93" s="370">
        <v>4</v>
      </c>
      <c r="CX93" s="494">
        <f>'FPS Pivot Table'!E103</f>
        <v>59.72</v>
      </c>
      <c r="CY93" s="661">
        <f t="shared" si="52"/>
        <v>62.11</v>
      </c>
      <c r="CZ93" s="158"/>
      <c r="DA93" s="313" t="str">
        <f t="shared" si="48"/>
        <v>434</v>
      </c>
      <c r="DB93" s="356">
        <v>43282</v>
      </c>
      <c r="DC93" s="356">
        <v>43282</v>
      </c>
      <c r="DD93" s="371" t="s">
        <v>375</v>
      </c>
      <c r="DE93" s="371"/>
      <c r="DF93" s="371">
        <v>3</v>
      </c>
      <c r="DG93" s="371">
        <v>4</v>
      </c>
      <c r="DH93" s="371">
        <v>4</v>
      </c>
      <c r="DI93" s="494">
        <f>'FPS Pivot Table'!F103</f>
        <v>94.89</v>
      </c>
      <c r="DJ93" s="42"/>
      <c r="DK93" s="313" t="str">
        <f t="shared" si="49"/>
        <v>434</v>
      </c>
      <c r="DL93" s="356">
        <v>43282</v>
      </c>
      <c r="DM93" s="356">
        <v>43282</v>
      </c>
      <c r="DN93" s="371" t="s">
        <v>375</v>
      </c>
      <c r="DO93" s="371"/>
      <c r="DP93" s="371">
        <v>3</v>
      </c>
      <c r="DQ93" s="371">
        <v>4</v>
      </c>
      <c r="DR93" s="371">
        <v>4</v>
      </c>
      <c r="DS93" s="494">
        <f>'FPS Pivot Table'!G103</f>
        <v>98.69</v>
      </c>
      <c r="DT93" s="661">
        <f t="shared" si="53"/>
        <v>102.64</v>
      </c>
      <c r="DU93" s="42"/>
      <c r="DV93" s="42"/>
      <c r="DW93" s="42"/>
      <c r="DX93" s="42"/>
      <c r="DY93" s="42"/>
      <c r="DZ93" s="42"/>
      <c r="EA93" s="42"/>
      <c r="EB93" s="42"/>
      <c r="EC93" s="42"/>
      <c r="ED93" s="42"/>
      <c r="EE93" s="42"/>
      <c r="EF93" s="42"/>
      <c r="EG93" s="42"/>
      <c r="EH93" s="42"/>
      <c r="EI93" s="42"/>
      <c r="EJ93" s="42"/>
      <c r="EK93" s="42"/>
      <c r="EL93" s="42"/>
      <c r="EM93" s="42"/>
      <c r="EN93" s="42"/>
      <c r="EO93" s="42"/>
      <c r="EP93" s="42"/>
      <c r="EQ93" s="42"/>
      <c r="ER93" s="42"/>
      <c r="ES93" s="42"/>
      <c r="ET93" s="42"/>
      <c r="EU93" s="42"/>
      <c r="EV93" s="42"/>
      <c r="EW93" s="42"/>
      <c r="EX93" s="42"/>
      <c r="EY93" s="42"/>
      <c r="EZ93" s="42"/>
      <c r="FA93" s="42"/>
    </row>
    <row r="94" spans="13:157">
      <c r="M94" s="177"/>
      <c r="Q94" s="32"/>
      <c r="AP94" s="572">
        <v>52</v>
      </c>
      <c r="AQ94" s="42" t="s">
        <v>187</v>
      </c>
      <c r="AR94" s="572">
        <v>52</v>
      </c>
      <c r="AS94" s="42"/>
      <c r="AT94" s="575">
        <v>52</v>
      </c>
      <c r="AU94" s="415" t="s">
        <v>500</v>
      </c>
      <c r="AV94" s="579">
        <v>52</v>
      </c>
      <c r="AW94" s="42"/>
      <c r="AX94" s="314">
        <v>89</v>
      </c>
      <c r="AY94" s="166" t="s">
        <v>4</v>
      </c>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313" t="str">
        <f t="shared" si="50"/>
        <v>435</v>
      </c>
      <c r="CG94" s="356">
        <v>43282</v>
      </c>
      <c r="CH94" s="356">
        <v>43282</v>
      </c>
      <c r="CI94" s="370" t="s">
        <v>15</v>
      </c>
      <c r="CJ94" s="370"/>
      <c r="CK94" s="371">
        <v>3</v>
      </c>
      <c r="CL94" s="371">
        <v>5</v>
      </c>
      <c r="CM94" s="370">
        <v>4</v>
      </c>
      <c r="CN94" s="494">
        <f>'FPS Pivot Table'!D104</f>
        <v>62.97</v>
      </c>
      <c r="CO94" s="158"/>
      <c r="CP94" s="313" t="str">
        <f t="shared" si="51"/>
        <v>435</v>
      </c>
      <c r="CQ94" s="356">
        <v>43282</v>
      </c>
      <c r="CR94" s="356">
        <v>43282</v>
      </c>
      <c r="CS94" s="370" t="s">
        <v>15</v>
      </c>
      <c r="CT94" s="370"/>
      <c r="CU94" s="371">
        <v>3</v>
      </c>
      <c r="CV94" s="371">
        <v>5</v>
      </c>
      <c r="CW94" s="370">
        <v>4</v>
      </c>
      <c r="CX94" s="494">
        <f>'FPS Pivot Table'!E104</f>
        <v>65.489999999999995</v>
      </c>
      <c r="CY94" s="661">
        <f t="shared" si="52"/>
        <v>68.11</v>
      </c>
      <c r="CZ94" s="158"/>
      <c r="DA94" s="313" t="str">
        <f t="shared" si="48"/>
        <v>435</v>
      </c>
      <c r="DB94" s="356">
        <v>43282</v>
      </c>
      <c r="DC94" s="356">
        <v>43282</v>
      </c>
      <c r="DD94" s="371" t="s">
        <v>375</v>
      </c>
      <c r="DE94" s="371"/>
      <c r="DF94" s="371">
        <v>3</v>
      </c>
      <c r="DG94" s="371">
        <v>5</v>
      </c>
      <c r="DH94" s="371">
        <v>4</v>
      </c>
      <c r="DI94" s="494">
        <f>'FPS Pivot Table'!F104</f>
        <v>99.8</v>
      </c>
      <c r="DJ94" s="42"/>
      <c r="DK94" s="313" t="str">
        <f t="shared" si="49"/>
        <v>435</v>
      </c>
      <c r="DL94" s="356">
        <v>43282</v>
      </c>
      <c r="DM94" s="356">
        <v>43282</v>
      </c>
      <c r="DN94" s="371" t="s">
        <v>375</v>
      </c>
      <c r="DO94" s="371"/>
      <c r="DP94" s="371">
        <v>3</v>
      </c>
      <c r="DQ94" s="371">
        <v>5</v>
      </c>
      <c r="DR94" s="371">
        <v>4</v>
      </c>
      <c r="DS94" s="494">
        <f>'FPS Pivot Table'!G104</f>
        <v>103.79</v>
      </c>
      <c r="DT94" s="661">
        <f t="shared" si="53"/>
        <v>107.94</v>
      </c>
      <c r="DU94" s="42"/>
      <c r="DV94" s="42"/>
      <c r="DW94" s="42"/>
      <c r="DX94" s="42"/>
      <c r="DY94" s="42"/>
      <c r="DZ94" s="42"/>
      <c r="EA94" s="42"/>
      <c r="EB94" s="42"/>
      <c r="EC94" s="42"/>
      <c r="ED94" s="42"/>
      <c r="EE94" s="42"/>
      <c r="EF94" s="42"/>
      <c r="EG94" s="42"/>
      <c r="EH94" s="42"/>
      <c r="EI94" s="42"/>
      <c r="EJ94" s="42"/>
      <c r="EK94" s="42"/>
      <c r="EL94" s="42"/>
      <c r="EM94" s="42"/>
      <c r="EN94" s="42"/>
      <c r="EO94" s="42"/>
      <c r="EP94" s="42"/>
      <c r="EQ94" s="42"/>
      <c r="ER94" s="42"/>
      <c r="ES94" s="42"/>
      <c r="ET94" s="42"/>
      <c r="EU94" s="42"/>
      <c r="EV94" s="42"/>
      <c r="EW94" s="42"/>
      <c r="EX94" s="42"/>
      <c r="EY94" s="42"/>
      <c r="EZ94" s="42"/>
      <c r="FA94" s="42"/>
    </row>
    <row r="95" spans="13:157">
      <c r="M95" s="177"/>
      <c r="Q95" s="32"/>
      <c r="AP95" s="572">
        <v>53</v>
      </c>
      <c r="AQ95" s="42" t="s">
        <v>188</v>
      </c>
      <c r="AR95" s="572">
        <v>53</v>
      </c>
      <c r="AS95" s="42"/>
      <c r="AT95" s="575">
        <v>53</v>
      </c>
      <c r="AU95" s="415" t="s">
        <v>501</v>
      </c>
      <c r="AV95" s="579">
        <v>53</v>
      </c>
      <c r="AW95" s="42"/>
      <c r="AX95" s="314">
        <v>90</v>
      </c>
      <c r="AY95" s="166" t="s">
        <v>4</v>
      </c>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313" t="str">
        <f t="shared" si="50"/>
        <v>441</v>
      </c>
      <c r="CG95" s="356">
        <v>43282</v>
      </c>
      <c r="CH95" s="356">
        <v>43282</v>
      </c>
      <c r="CI95" s="370" t="s">
        <v>15</v>
      </c>
      <c r="CJ95" s="370"/>
      <c r="CK95" s="371">
        <v>4</v>
      </c>
      <c r="CL95" s="371">
        <v>1</v>
      </c>
      <c r="CM95" s="370">
        <v>4</v>
      </c>
      <c r="CN95" s="494">
        <f>'FPS Pivot Table'!D105</f>
        <v>54.37</v>
      </c>
      <c r="CO95" s="158"/>
      <c r="CP95" s="313" t="str">
        <f t="shared" si="51"/>
        <v>441</v>
      </c>
      <c r="CQ95" s="356">
        <v>43282</v>
      </c>
      <c r="CR95" s="356">
        <v>43282</v>
      </c>
      <c r="CS95" s="370" t="s">
        <v>15</v>
      </c>
      <c r="CT95" s="370"/>
      <c r="CU95" s="371">
        <v>4</v>
      </c>
      <c r="CV95" s="371">
        <v>1</v>
      </c>
      <c r="CW95" s="370">
        <v>4</v>
      </c>
      <c r="CX95" s="494">
        <f>'FPS Pivot Table'!E105</f>
        <v>56.54</v>
      </c>
      <c r="CY95" s="661">
        <f t="shared" si="52"/>
        <v>58.8</v>
      </c>
      <c r="CZ95" s="158"/>
      <c r="DA95" s="313" t="str">
        <f t="shared" si="48"/>
        <v>441</v>
      </c>
      <c r="DB95" s="356">
        <v>43282</v>
      </c>
      <c r="DC95" s="356">
        <v>43282</v>
      </c>
      <c r="DD95" s="371" t="s">
        <v>375</v>
      </c>
      <c r="DE95" s="371"/>
      <c r="DF95" s="371">
        <v>4</v>
      </c>
      <c r="DG95" s="371">
        <v>1</v>
      </c>
      <c r="DH95" s="371">
        <v>4</v>
      </c>
      <c r="DI95" s="494">
        <f>'FPS Pivot Table'!F105</f>
        <v>134.03</v>
      </c>
      <c r="DJ95" s="42"/>
      <c r="DK95" s="313" t="str">
        <f t="shared" si="49"/>
        <v>441</v>
      </c>
      <c r="DL95" s="356">
        <v>43282</v>
      </c>
      <c r="DM95" s="356">
        <v>43282</v>
      </c>
      <c r="DN95" s="371" t="s">
        <v>375</v>
      </c>
      <c r="DO95" s="371"/>
      <c r="DP95" s="371">
        <v>4</v>
      </c>
      <c r="DQ95" s="371">
        <v>1</v>
      </c>
      <c r="DR95" s="371">
        <v>4</v>
      </c>
      <c r="DS95" s="494">
        <f>'FPS Pivot Table'!G105</f>
        <v>139.38999999999999</v>
      </c>
      <c r="DT95" s="661">
        <f t="shared" si="53"/>
        <v>144.97</v>
      </c>
      <c r="DU95" s="42"/>
      <c r="DV95" s="42"/>
      <c r="DW95" s="42"/>
      <c r="DX95" s="42"/>
      <c r="DY95" s="42"/>
      <c r="DZ95" s="42"/>
      <c r="EA95" s="42"/>
      <c r="EB95" s="42"/>
      <c r="EC95" s="42"/>
      <c r="ED95" s="42"/>
      <c r="EE95" s="42"/>
      <c r="EF95" s="42"/>
      <c r="EG95" s="42"/>
      <c r="EH95" s="42"/>
      <c r="EI95" s="42"/>
      <c r="EJ95" s="42"/>
      <c r="EK95" s="42"/>
      <c r="EL95" s="42"/>
      <c r="EM95" s="42"/>
      <c r="EN95" s="42"/>
      <c r="EO95" s="42"/>
      <c r="EP95" s="42"/>
      <c r="EQ95" s="42"/>
      <c r="ER95" s="42"/>
      <c r="ES95" s="42"/>
      <c r="ET95" s="42"/>
      <c r="EU95" s="42"/>
      <c r="EV95" s="42"/>
      <c r="EW95" s="42"/>
      <c r="EX95" s="42"/>
      <c r="EY95" s="42"/>
      <c r="EZ95" s="42"/>
      <c r="FA95" s="42"/>
    </row>
    <row r="96" spans="13:157">
      <c r="M96" s="177"/>
      <c r="Q96" s="32"/>
      <c r="AP96" s="572">
        <v>54</v>
      </c>
      <c r="AQ96" s="42" t="s">
        <v>189</v>
      </c>
      <c r="AR96" s="572">
        <v>54</v>
      </c>
      <c r="AS96" s="42"/>
      <c r="AT96" s="575">
        <v>54</v>
      </c>
      <c r="AU96" s="415" t="s">
        <v>502</v>
      </c>
      <c r="AV96" s="579">
        <v>54</v>
      </c>
      <c r="AW96" s="42"/>
      <c r="AX96" s="314">
        <v>91</v>
      </c>
      <c r="AY96" s="166" t="s">
        <v>4</v>
      </c>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313" t="str">
        <f t="shared" si="50"/>
        <v>442</v>
      </c>
      <c r="CG96" s="356">
        <v>43282</v>
      </c>
      <c r="CH96" s="356">
        <v>43282</v>
      </c>
      <c r="CI96" s="370" t="s">
        <v>15</v>
      </c>
      <c r="CJ96" s="370"/>
      <c r="CK96" s="371">
        <v>4</v>
      </c>
      <c r="CL96" s="371">
        <v>2</v>
      </c>
      <c r="CM96" s="370">
        <v>4</v>
      </c>
      <c r="CN96" s="494">
        <f>'FPS Pivot Table'!D106</f>
        <v>57.27</v>
      </c>
      <c r="CO96" s="158"/>
      <c r="CP96" s="313" t="str">
        <f t="shared" si="51"/>
        <v>442</v>
      </c>
      <c r="CQ96" s="356">
        <v>43282</v>
      </c>
      <c r="CR96" s="356">
        <v>43282</v>
      </c>
      <c r="CS96" s="370" t="s">
        <v>15</v>
      </c>
      <c r="CT96" s="370"/>
      <c r="CU96" s="371">
        <v>4</v>
      </c>
      <c r="CV96" s="371">
        <v>2</v>
      </c>
      <c r="CW96" s="370">
        <v>4</v>
      </c>
      <c r="CX96" s="494">
        <f>'FPS Pivot Table'!E106</f>
        <v>59.56</v>
      </c>
      <c r="CY96" s="661">
        <f t="shared" si="52"/>
        <v>61.94</v>
      </c>
      <c r="CZ96" s="158"/>
      <c r="DA96" s="313" t="str">
        <f t="shared" si="48"/>
        <v>442</v>
      </c>
      <c r="DB96" s="356">
        <v>43282</v>
      </c>
      <c r="DC96" s="356">
        <v>43282</v>
      </c>
      <c r="DD96" s="371" t="s">
        <v>375</v>
      </c>
      <c r="DE96" s="371"/>
      <c r="DF96" s="371">
        <v>4</v>
      </c>
      <c r="DG96" s="371">
        <v>2</v>
      </c>
      <c r="DH96" s="371">
        <v>4</v>
      </c>
      <c r="DI96" s="494">
        <f>'FPS Pivot Table'!F106</f>
        <v>136.58000000000001</v>
      </c>
      <c r="DJ96" s="42"/>
      <c r="DK96" s="313" t="str">
        <f t="shared" si="49"/>
        <v>442</v>
      </c>
      <c r="DL96" s="356">
        <v>43282</v>
      </c>
      <c r="DM96" s="356">
        <v>43282</v>
      </c>
      <c r="DN96" s="371" t="s">
        <v>375</v>
      </c>
      <c r="DO96" s="371"/>
      <c r="DP96" s="371">
        <v>4</v>
      </c>
      <c r="DQ96" s="371">
        <v>2</v>
      </c>
      <c r="DR96" s="371">
        <v>4</v>
      </c>
      <c r="DS96" s="494">
        <f>'FPS Pivot Table'!G106</f>
        <v>142.04</v>
      </c>
      <c r="DT96" s="661">
        <f t="shared" si="53"/>
        <v>147.72</v>
      </c>
      <c r="DU96" s="42"/>
      <c r="DV96" s="42"/>
      <c r="DW96" s="42"/>
      <c r="DX96" s="42"/>
      <c r="DY96" s="42"/>
      <c r="DZ96" s="42"/>
      <c r="EA96" s="42"/>
      <c r="EB96" s="42"/>
      <c r="EC96" s="42"/>
      <c r="ED96" s="42"/>
      <c r="EE96" s="42"/>
      <c r="EF96" s="42"/>
      <c r="EG96" s="42"/>
      <c r="EH96" s="42"/>
      <c r="EI96" s="42"/>
      <c r="EJ96" s="42"/>
      <c r="EK96" s="42"/>
      <c r="EL96" s="42"/>
      <c r="EM96" s="42"/>
      <c r="EN96" s="42"/>
      <c r="EO96" s="42"/>
      <c r="EP96" s="42"/>
      <c r="EQ96" s="42"/>
      <c r="ER96" s="42"/>
      <c r="ES96" s="42"/>
      <c r="ET96" s="42"/>
      <c r="EU96" s="42"/>
      <c r="EV96" s="42"/>
      <c r="EW96" s="42"/>
      <c r="EX96" s="42"/>
      <c r="EY96" s="42"/>
      <c r="EZ96" s="42"/>
      <c r="FA96" s="42"/>
    </row>
    <row r="97" spans="13:157">
      <c r="M97" s="177"/>
      <c r="Q97" s="32"/>
      <c r="AP97" s="572">
        <v>55</v>
      </c>
      <c r="AQ97" s="42" t="s">
        <v>190</v>
      </c>
      <c r="AR97" s="572">
        <v>55</v>
      </c>
      <c r="AS97" s="42"/>
      <c r="AT97" s="576">
        <v>55</v>
      </c>
      <c r="AU97" s="415" t="s">
        <v>503</v>
      </c>
      <c r="AV97" s="576">
        <v>55</v>
      </c>
      <c r="AW97" s="42"/>
      <c r="AX97" s="314">
        <v>92</v>
      </c>
      <c r="AY97" s="166" t="s">
        <v>4</v>
      </c>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313" t="str">
        <f t="shared" si="50"/>
        <v>443</v>
      </c>
      <c r="CG97" s="356">
        <v>43282</v>
      </c>
      <c r="CH97" s="356">
        <v>43282</v>
      </c>
      <c r="CI97" s="370" t="s">
        <v>15</v>
      </c>
      <c r="CJ97" s="370"/>
      <c r="CK97" s="371">
        <v>4</v>
      </c>
      <c r="CL97" s="371">
        <v>3</v>
      </c>
      <c r="CM97" s="370">
        <v>4</v>
      </c>
      <c r="CN97" s="494">
        <f>'FPS Pivot Table'!D107</f>
        <v>61.94</v>
      </c>
      <c r="CO97" s="158"/>
      <c r="CP97" s="313" t="str">
        <f t="shared" si="51"/>
        <v>443</v>
      </c>
      <c r="CQ97" s="356">
        <v>43282</v>
      </c>
      <c r="CR97" s="356">
        <v>43282</v>
      </c>
      <c r="CS97" s="370" t="s">
        <v>15</v>
      </c>
      <c r="CT97" s="370"/>
      <c r="CU97" s="371">
        <v>4</v>
      </c>
      <c r="CV97" s="371">
        <v>3</v>
      </c>
      <c r="CW97" s="370">
        <v>4</v>
      </c>
      <c r="CX97" s="494">
        <f>'FPS Pivot Table'!E107</f>
        <v>64.42</v>
      </c>
      <c r="CY97" s="661">
        <f t="shared" si="52"/>
        <v>67</v>
      </c>
      <c r="CZ97" s="158"/>
      <c r="DA97" s="313" t="str">
        <f t="shared" si="48"/>
        <v>443</v>
      </c>
      <c r="DB97" s="356">
        <v>43282</v>
      </c>
      <c r="DC97" s="356">
        <v>43282</v>
      </c>
      <c r="DD97" s="371" t="s">
        <v>375</v>
      </c>
      <c r="DE97" s="371"/>
      <c r="DF97" s="371">
        <v>4</v>
      </c>
      <c r="DG97" s="371">
        <v>3</v>
      </c>
      <c r="DH97" s="371">
        <v>4</v>
      </c>
      <c r="DI97" s="494">
        <f>'FPS Pivot Table'!F107</f>
        <v>140.68</v>
      </c>
      <c r="DJ97" s="42"/>
      <c r="DK97" s="313" t="str">
        <f t="shared" si="49"/>
        <v>443</v>
      </c>
      <c r="DL97" s="356">
        <v>43282</v>
      </c>
      <c r="DM97" s="356">
        <v>43282</v>
      </c>
      <c r="DN97" s="371" t="s">
        <v>375</v>
      </c>
      <c r="DO97" s="371"/>
      <c r="DP97" s="371">
        <v>4</v>
      </c>
      <c r="DQ97" s="371">
        <v>3</v>
      </c>
      <c r="DR97" s="371">
        <v>4</v>
      </c>
      <c r="DS97" s="494">
        <f>'FPS Pivot Table'!G107</f>
        <v>146.31</v>
      </c>
      <c r="DT97" s="661">
        <f t="shared" si="53"/>
        <v>152.16</v>
      </c>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row>
    <row r="98" spans="13:157">
      <c r="M98" s="177"/>
      <c r="Q98" s="32"/>
      <c r="AP98" s="572">
        <v>56</v>
      </c>
      <c r="AQ98" s="42" t="s">
        <v>191</v>
      </c>
      <c r="AR98" s="572">
        <v>56</v>
      </c>
      <c r="AS98" s="42"/>
      <c r="AT98" s="576">
        <v>56</v>
      </c>
      <c r="AU98" s="415" t="s">
        <v>504</v>
      </c>
      <c r="AV98" s="576">
        <v>56</v>
      </c>
      <c r="AW98" s="42"/>
      <c r="AX98" s="314">
        <v>93</v>
      </c>
      <c r="AY98" s="166" t="s">
        <v>4</v>
      </c>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313" t="str">
        <f t="shared" si="50"/>
        <v>444</v>
      </c>
      <c r="CG98" s="356">
        <v>43282</v>
      </c>
      <c r="CH98" s="356">
        <v>43282</v>
      </c>
      <c r="CI98" s="370" t="s">
        <v>15</v>
      </c>
      <c r="CJ98" s="370"/>
      <c r="CK98" s="371">
        <v>4</v>
      </c>
      <c r="CL98" s="371">
        <v>4</v>
      </c>
      <c r="CM98" s="370">
        <v>4</v>
      </c>
      <c r="CN98" s="494">
        <f>'FPS Pivot Table'!D108</f>
        <v>68.25</v>
      </c>
      <c r="CO98" s="158"/>
      <c r="CP98" s="313" t="str">
        <f t="shared" si="51"/>
        <v>444</v>
      </c>
      <c r="CQ98" s="356">
        <v>43282</v>
      </c>
      <c r="CR98" s="356">
        <v>43282</v>
      </c>
      <c r="CS98" s="370" t="s">
        <v>15</v>
      </c>
      <c r="CT98" s="370"/>
      <c r="CU98" s="371">
        <v>4</v>
      </c>
      <c r="CV98" s="371">
        <v>4</v>
      </c>
      <c r="CW98" s="370">
        <v>4</v>
      </c>
      <c r="CX98" s="494">
        <f>'FPS Pivot Table'!E108</f>
        <v>70.98</v>
      </c>
      <c r="CY98" s="661">
        <f t="shared" si="52"/>
        <v>73.819999999999993</v>
      </c>
      <c r="CZ98" s="158"/>
      <c r="DA98" s="313" t="str">
        <f t="shared" si="48"/>
        <v>444</v>
      </c>
      <c r="DB98" s="356">
        <v>43282</v>
      </c>
      <c r="DC98" s="356">
        <v>43282</v>
      </c>
      <c r="DD98" s="371" t="s">
        <v>375</v>
      </c>
      <c r="DE98" s="371"/>
      <c r="DF98" s="371">
        <v>4</v>
      </c>
      <c r="DG98" s="371">
        <v>4</v>
      </c>
      <c r="DH98" s="371">
        <v>4</v>
      </c>
      <c r="DI98" s="494">
        <f>'FPS Pivot Table'!F108</f>
        <v>146.22</v>
      </c>
      <c r="DJ98" s="42"/>
      <c r="DK98" s="313" t="str">
        <f t="shared" si="49"/>
        <v>444</v>
      </c>
      <c r="DL98" s="356">
        <v>43282</v>
      </c>
      <c r="DM98" s="356">
        <v>43282</v>
      </c>
      <c r="DN98" s="371" t="s">
        <v>375</v>
      </c>
      <c r="DO98" s="371"/>
      <c r="DP98" s="371">
        <v>4</v>
      </c>
      <c r="DQ98" s="371">
        <v>4</v>
      </c>
      <c r="DR98" s="371">
        <v>4</v>
      </c>
      <c r="DS98" s="494">
        <f>'FPS Pivot Table'!G108</f>
        <v>152.07</v>
      </c>
      <c r="DT98" s="661">
        <f t="shared" si="53"/>
        <v>158.15</v>
      </c>
      <c r="DU98" s="42"/>
      <c r="DV98" s="42"/>
      <c r="DW98" s="42"/>
      <c r="DX98" s="42"/>
      <c r="DY98" s="42"/>
      <c r="DZ98" s="42"/>
      <c r="EA98" s="42"/>
      <c r="EB98" s="42"/>
      <c r="EC98" s="42"/>
      <c r="ED98" s="42"/>
      <c r="EE98" s="42"/>
      <c r="EF98" s="42"/>
      <c r="EG98" s="42"/>
      <c r="EH98" s="42"/>
      <c r="EI98" s="42"/>
      <c r="EJ98" s="42"/>
      <c r="EK98" s="42"/>
      <c r="EL98" s="42"/>
      <c r="EM98" s="42"/>
      <c r="EN98" s="42"/>
      <c r="EO98" s="42"/>
      <c r="EP98" s="42"/>
      <c r="EQ98" s="42"/>
      <c r="ER98" s="42"/>
      <c r="ES98" s="42"/>
      <c r="ET98" s="42"/>
      <c r="EU98" s="42"/>
      <c r="EV98" s="42"/>
      <c r="EW98" s="42"/>
      <c r="EX98" s="42"/>
      <c r="EY98" s="42"/>
      <c r="EZ98" s="42"/>
      <c r="FA98" s="42"/>
    </row>
    <row r="99" spans="13:157">
      <c r="M99" s="177"/>
      <c r="Q99" s="32"/>
      <c r="AP99" s="572">
        <v>57</v>
      </c>
      <c r="AQ99" s="42" t="s">
        <v>192</v>
      </c>
      <c r="AR99" s="572">
        <v>57</v>
      </c>
      <c r="AS99" s="42"/>
      <c r="AT99" s="576">
        <v>57</v>
      </c>
      <c r="AU99" s="415" t="s">
        <v>505</v>
      </c>
      <c r="AV99" s="576">
        <v>57</v>
      </c>
      <c r="AW99" s="42"/>
      <c r="AX99" s="314">
        <v>94</v>
      </c>
      <c r="AY99" s="166" t="s">
        <v>4</v>
      </c>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313" t="str">
        <f t="shared" si="50"/>
        <v>445</v>
      </c>
      <c r="CG99" s="356">
        <v>43282</v>
      </c>
      <c r="CH99" s="356">
        <v>43282</v>
      </c>
      <c r="CI99" s="370" t="s">
        <v>15</v>
      </c>
      <c r="CJ99" s="370"/>
      <c r="CK99" s="371">
        <v>4</v>
      </c>
      <c r="CL99" s="371">
        <v>5</v>
      </c>
      <c r="CM99" s="370">
        <v>4</v>
      </c>
      <c r="CN99" s="494">
        <f>'FPS Pivot Table'!D109</f>
        <v>73.77</v>
      </c>
      <c r="CO99" s="158"/>
      <c r="CP99" s="313" t="str">
        <f t="shared" si="51"/>
        <v>445</v>
      </c>
      <c r="CQ99" s="356">
        <v>43282</v>
      </c>
      <c r="CR99" s="356">
        <v>43282</v>
      </c>
      <c r="CS99" s="370" t="s">
        <v>15</v>
      </c>
      <c r="CT99" s="370"/>
      <c r="CU99" s="371">
        <v>4</v>
      </c>
      <c r="CV99" s="371">
        <v>5</v>
      </c>
      <c r="CW99" s="370">
        <v>4</v>
      </c>
      <c r="CX99" s="494">
        <f>'FPS Pivot Table'!E109</f>
        <v>76.72</v>
      </c>
      <c r="CY99" s="661">
        <f t="shared" si="52"/>
        <v>79.790000000000006</v>
      </c>
      <c r="CZ99" s="158"/>
      <c r="DA99" s="313" t="str">
        <f t="shared" si="48"/>
        <v>445</v>
      </c>
      <c r="DB99" s="356">
        <v>43282</v>
      </c>
      <c r="DC99" s="356">
        <v>43282</v>
      </c>
      <c r="DD99" s="371" t="s">
        <v>375</v>
      </c>
      <c r="DE99" s="371"/>
      <c r="DF99" s="371">
        <v>4</v>
      </c>
      <c r="DG99" s="371">
        <v>5</v>
      </c>
      <c r="DH99" s="371">
        <v>4</v>
      </c>
      <c r="DI99" s="494">
        <f>'FPS Pivot Table'!F109</f>
        <v>151.08000000000001</v>
      </c>
      <c r="DJ99" s="42"/>
      <c r="DK99" s="313" t="str">
        <f t="shared" si="49"/>
        <v>445</v>
      </c>
      <c r="DL99" s="356">
        <v>43282</v>
      </c>
      <c r="DM99" s="356">
        <v>43282</v>
      </c>
      <c r="DN99" s="371" t="s">
        <v>375</v>
      </c>
      <c r="DO99" s="371"/>
      <c r="DP99" s="371">
        <v>4</v>
      </c>
      <c r="DQ99" s="371">
        <v>5</v>
      </c>
      <c r="DR99" s="371">
        <v>4</v>
      </c>
      <c r="DS99" s="494">
        <f>'FPS Pivot Table'!G109</f>
        <v>157.12</v>
      </c>
      <c r="DT99" s="661">
        <f t="shared" si="53"/>
        <v>163.4</v>
      </c>
      <c r="DU99" s="42"/>
      <c r="DV99" s="42"/>
      <c r="DW99" s="42"/>
      <c r="DX99" s="42"/>
      <c r="DY99" s="42"/>
      <c r="DZ99" s="42"/>
      <c r="EA99" s="42"/>
      <c r="EB99" s="42"/>
      <c r="EC99" s="42"/>
      <c r="ED99" s="42"/>
      <c r="EE99" s="42"/>
      <c r="EF99" s="42"/>
      <c r="EG99" s="42"/>
      <c r="EH99" s="42"/>
      <c r="EI99" s="42"/>
      <c r="EJ99" s="42"/>
      <c r="EK99" s="42"/>
      <c r="EL99" s="42"/>
      <c r="EM99" s="42"/>
      <c r="EN99" s="42"/>
      <c r="EO99" s="42"/>
      <c r="EP99" s="42"/>
      <c r="EQ99" s="42"/>
      <c r="ER99" s="42"/>
      <c r="ES99" s="42"/>
      <c r="ET99" s="42"/>
      <c r="EU99" s="42"/>
      <c r="EV99" s="42"/>
      <c r="EW99" s="42"/>
      <c r="EX99" s="42"/>
      <c r="EY99" s="42"/>
      <c r="EZ99" s="42"/>
      <c r="FA99" s="42"/>
    </row>
    <row r="100" spans="13:157">
      <c r="M100" s="177"/>
      <c r="Q100" s="32"/>
      <c r="AP100" s="572">
        <v>58</v>
      </c>
      <c r="AQ100" s="42" t="s">
        <v>193</v>
      </c>
      <c r="AR100" s="572">
        <v>58</v>
      </c>
      <c r="AS100" s="42"/>
      <c r="AT100" s="576">
        <v>58</v>
      </c>
      <c r="AU100" s="415" t="s">
        <v>506</v>
      </c>
      <c r="AV100" s="576">
        <v>58</v>
      </c>
      <c r="AW100" s="42"/>
      <c r="AX100" s="314">
        <v>95</v>
      </c>
      <c r="AY100" s="166" t="s">
        <v>4</v>
      </c>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313" t="str">
        <f t="shared" si="50"/>
        <v>451</v>
      </c>
      <c r="CG100" s="356">
        <v>43282</v>
      </c>
      <c r="CH100" s="356">
        <v>43282</v>
      </c>
      <c r="CI100" s="370" t="s">
        <v>15</v>
      </c>
      <c r="CJ100" s="370"/>
      <c r="CK100" s="371">
        <v>5</v>
      </c>
      <c r="CL100" s="371">
        <v>1</v>
      </c>
      <c r="CM100" s="370">
        <v>4</v>
      </c>
      <c r="CN100" s="494">
        <f>'FPS Pivot Table'!D110</f>
        <v>75.709999999999994</v>
      </c>
      <c r="CO100" s="158"/>
      <c r="CP100" s="313" t="str">
        <f t="shared" si="51"/>
        <v>451</v>
      </c>
      <c r="CQ100" s="356">
        <v>43282</v>
      </c>
      <c r="CR100" s="356">
        <v>43282</v>
      </c>
      <c r="CS100" s="370" t="s">
        <v>15</v>
      </c>
      <c r="CT100" s="370"/>
      <c r="CU100" s="371">
        <v>5</v>
      </c>
      <c r="CV100" s="371">
        <v>1</v>
      </c>
      <c r="CW100" s="370">
        <v>4</v>
      </c>
      <c r="CX100" s="494">
        <f>'FPS Pivot Table'!E110</f>
        <v>78.739999999999995</v>
      </c>
      <c r="CY100" s="661">
        <f t="shared" si="52"/>
        <v>81.89</v>
      </c>
      <c r="CZ100" s="158"/>
      <c r="DA100" s="313" t="str">
        <f t="shared" si="48"/>
        <v>451</v>
      </c>
      <c r="DB100" s="356">
        <v>43282</v>
      </c>
      <c r="DC100" s="356">
        <v>43282</v>
      </c>
      <c r="DD100" s="371" t="s">
        <v>375</v>
      </c>
      <c r="DE100" s="371"/>
      <c r="DF100" s="371">
        <v>5</v>
      </c>
      <c r="DG100" s="371">
        <v>1</v>
      </c>
      <c r="DH100" s="371">
        <v>4</v>
      </c>
      <c r="DI100" s="494">
        <f>'FPS Pivot Table'!F110</f>
        <v>192.2</v>
      </c>
      <c r="DJ100" s="42"/>
      <c r="DK100" s="313" t="str">
        <f t="shared" si="49"/>
        <v>451</v>
      </c>
      <c r="DL100" s="356">
        <v>43282</v>
      </c>
      <c r="DM100" s="356">
        <v>43282</v>
      </c>
      <c r="DN100" s="371" t="s">
        <v>375</v>
      </c>
      <c r="DO100" s="371"/>
      <c r="DP100" s="371">
        <v>5</v>
      </c>
      <c r="DQ100" s="371">
        <v>1</v>
      </c>
      <c r="DR100" s="371">
        <v>4</v>
      </c>
      <c r="DS100" s="494">
        <f>'FPS Pivot Table'!G110</f>
        <v>199.89</v>
      </c>
      <c r="DT100" s="661">
        <f t="shared" si="53"/>
        <v>207.89</v>
      </c>
      <c r="DU100" s="42"/>
      <c r="DV100" s="42"/>
      <c r="DW100" s="42"/>
      <c r="DX100" s="42"/>
      <c r="DY100" s="42"/>
      <c r="DZ100" s="42"/>
      <c r="EA100" s="42"/>
      <c r="EB100" s="42"/>
      <c r="EC100" s="42"/>
      <c r="ED100" s="42"/>
      <c r="EE100" s="42"/>
      <c r="EF100" s="42"/>
      <c r="EG100" s="42"/>
      <c r="EH100" s="42"/>
      <c r="EI100" s="42"/>
      <c r="EJ100" s="42"/>
      <c r="EK100" s="42"/>
      <c r="EL100" s="42"/>
      <c r="EM100" s="42"/>
      <c r="EN100" s="42"/>
      <c r="EO100" s="42"/>
      <c r="EP100" s="42"/>
      <c r="EQ100" s="42"/>
      <c r="ER100" s="42"/>
      <c r="ES100" s="42"/>
      <c r="ET100" s="42"/>
      <c r="EU100" s="42"/>
      <c r="EV100" s="42"/>
      <c r="EW100" s="42"/>
      <c r="EX100" s="42"/>
      <c r="EY100" s="42"/>
      <c r="EZ100" s="42"/>
      <c r="FA100" s="42"/>
    </row>
    <row r="101" spans="13:157">
      <c r="M101" s="177"/>
      <c r="Q101" s="32"/>
      <c r="AP101" s="572">
        <v>59</v>
      </c>
      <c r="AQ101" s="42" t="s">
        <v>194</v>
      </c>
      <c r="AR101" s="572">
        <v>59</v>
      </c>
      <c r="AS101" s="42"/>
      <c r="AT101" s="576">
        <v>59</v>
      </c>
      <c r="AU101" s="415" t="s">
        <v>507</v>
      </c>
      <c r="AV101" s="576">
        <v>59</v>
      </c>
      <c r="AW101" s="42"/>
      <c r="AX101" s="314">
        <v>96</v>
      </c>
      <c r="AY101" s="166" t="s">
        <v>4</v>
      </c>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313" t="str">
        <f t="shared" si="50"/>
        <v>452</v>
      </c>
      <c r="CG101" s="356">
        <v>43282</v>
      </c>
      <c r="CH101" s="356">
        <v>43282</v>
      </c>
      <c r="CI101" s="370" t="s">
        <v>15</v>
      </c>
      <c r="CJ101" s="370"/>
      <c r="CK101" s="371">
        <v>5</v>
      </c>
      <c r="CL101" s="371">
        <v>2</v>
      </c>
      <c r="CM101" s="370">
        <v>4</v>
      </c>
      <c r="CN101" s="494">
        <f>'FPS Pivot Table'!D111</f>
        <v>78.59</v>
      </c>
      <c r="CO101" s="158"/>
      <c r="CP101" s="313" t="str">
        <f t="shared" si="51"/>
        <v>452</v>
      </c>
      <c r="CQ101" s="356">
        <v>43282</v>
      </c>
      <c r="CR101" s="356">
        <v>43282</v>
      </c>
      <c r="CS101" s="370" t="s">
        <v>15</v>
      </c>
      <c r="CT101" s="370"/>
      <c r="CU101" s="371">
        <v>5</v>
      </c>
      <c r="CV101" s="371">
        <v>2</v>
      </c>
      <c r="CW101" s="370">
        <v>4</v>
      </c>
      <c r="CX101" s="494">
        <f>'FPS Pivot Table'!E111</f>
        <v>81.73</v>
      </c>
      <c r="CY101" s="661">
        <f t="shared" si="52"/>
        <v>85</v>
      </c>
      <c r="CZ101" s="158"/>
      <c r="DA101" s="313" t="str">
        <f t="shared" si="48"/>
        <v>452</v>
      </c>
      <c r="DB101" s="356">
        <v>43282</v>
      </c>
      <c r="DC101" s="356">
        <v>43282</v>
      </c>
      <c r="DD101" s="371" t="s">
        <v>375</v>
      </c>
      <c r="DE101" s="371"/>
      <c r="DF101" s="371">
        <v>5</v>
      </c>
      <c r="DG101" s="371">
        <v>2</v>
      </c>
      <c r="DH101" s="371">
        <v>4</v>
      </c>
      <c r="DI101" s="494">
        <f>'FPS Pivot Table'!F111</f>
        <v>194.71</v>
      </c>
      <c r="DJ101" s="42"/>
      <c r="DK101" s="313" t="str">
        <f t="shared" ref="DK101:DK132" si="54">CONCATENATE(DR101,DP101,DQ101)</f>
        <v>452</v>
      </c>
      <c r="DL101" s="356">
        <v>43282</v>
      </c>
      <c r="DM101" s="356">
        <v>43282</v>
      </c>
      <c r="DN101" s="371" t="s">
        <v>375</v>
      </c>
      <c r="DO101" s="371"/>
      <c r="DP101" s="371">
        <v>5</v>
      </c>
      <c r="DQ101" s="371">
        <v>2</v>
      </c>
      <c r="DR101" s="371">
        <v>4</v>
      </c>
      <c r="DS101" s="494">
        <f>'FPS Pivot Table'!G111</f>
        <v>202.5</v>
      </c>
      <c r="DT101" s="661">
        <f t="shared" si="53"/>
        <v>210.6</v>
      </c>
      <c r="DU101" s="42"/>
      <c r="DV101" s="42"/>
      <c r="DW101" s="42"/>
      <c r="DX101" s="42"/>
      <c r="DY101" s="42"/>
      <c r="DZ101" s="42"/>
      <c r="EA101" s="42"/>
      <c r="EB101" s="42"/>
      <c r="EC101" s="42"/>
      <c r="ED101" s="42"/>
      <c r="EE101" s="42"/>
      <c r="EF101" s="42"/>
      <c r="EG101" s="42"/>
      <c r="EH101" s="42"/>
      <c r="EI101" s="42"/>
      <c r="EJ101" s="42"/>
      <c r="EK101" s="42"/>
      <c r="EL101" s="42"/>
      <c r="EM101" s="42"/>
      <c r="EN101" s="42"/>
      <c r="EO101" s="42"/>
      <c r="EP101" s="42"/>
      <c r="EQ101" s="42"/>
      <c r="ER101" s="42"/>
      <c r="ES101" s="42"/>
      <c r="ET101" s="42"/>
      <c r="EU101" s="42"/>
      <c r="EV101" s="42"/>
      <c r="EW101" s="42"/>
      <c r="EX101" s="42"/>
      <c r="EY101" s="42"/>
      <c r="EZ101" s="42"/>
      <c r="FA101" s="42"/>
    </row>
    <row r="102" spans="13:157" ht="15" thickBot="1">
      <c r="M102" s="177"/>
      <c r="Q102" s="32"/>
      <c r="AP102" s="572">
        <v>60</v>
      </c>
      <c r="AQ102" s="42" t="s">
        <v>195</v>
      </c>
      <c r="AR102" s="572">
        <v>60</v>
      </c>
      <c r="AS102" s="42"/>
      <c r="AT102" s="577">
        <v>60</v>
      </c>
      <c r="AU102" s="416" t="s">
        <v>508</v>
      </c>
      <c r="AV102" s="577">
        <v>60</v>
      </c>
      <c r="AW102" s="42"/>
      <c r="AX102" s="314">
        <v>97</v>
      </c>
      <c r="AY102" s="166" t="s">
        <v>4</v>
      </c>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313" t="str">
        <f t="shared" si="50"/>
        <v>453</v>
      </c>
      <c r="CG102" s="356">
        <v>43282</v>
      </c>
      <c r="CH102" s="356">
        <v>43282</v>
      </c>
      <c r="CI102" s="370" t="s">
        <v>15</v>
      </c>
      <c r="CJ102" s="370"/>
      <c r="CK102" s="371">
        <v>5</v>
      </c>
      <c r="CL102" s="371">
        <v>3</v>
      </c>
      <c r="CM102" s="370">
        <v>4</v>
      </c>
      <c r="CN102" s="494">
        <f>'FPS Pivot Table'!D112</f>
        <v>83.25</v>
      </c>
      <c r="CO102" s="158"/>
      <c r="CP102" s="313" t="str">
        <f t="shared" si="51"/>
        <v>453</v>
      </c>
      <c r="CQ102" s="356">
        <v>43282</v>
      </c>
      <c r="CR102" s="356">
        <v>43282</v>
      </c>
      <c r="CS102" s="370" t="s">
        <v>15</v>
      </c>
      <c r="CT102" s="370"/>
      <c r="CU102" s="371">
        <v>5</v>
      </c>
      <c r="CV102" s="371">
        <v>3</v>
      </c>
      <c r="CW102" s="370">
        <v>4</v>
      </c>
      <c r="CX102" s="494">
        <f>'FPS Pivot Table'!E112</f>
        <v>86.58</v>
      </c>
      <c r="CY102" s="661">
        <f t="shared" si="52"/>
        <v>90.04</v>
      </c>
      <c r="CZ102" s="158"/>
      <c r="DA102" s="313" t="str">
        <f t="shared" si="48"/>
        <v>453</v>
      </c>
      <c r="DB102" s="356">
        <v>43282</v>
      </c>
      <c r="DC102" s="356">
        <v>43282</v>
      </c>
      <c r="DD102" s="371" t="s">
        <v>375</v>
      </c>
      <c r="DE102" s="371"/>
      <c r="DF102" s="371">
        <v>5</v>
      </c>
      <c r="DG102" s="371">
        <v>3</v>
      </c>
      <c r="DH102" s="371">
        <v>4</v>
      </c>
      <c r="DI102" s="494">
        <f>'FPS Pivot Table'!F112</f>
        <v>198.81</v>
      </c>
      <c r="DJ102" s="42"/>
      <c r="DK102" s="313" t="str">
        <f t="shared" si="54"/>
        <v>453</v>
      </c>
      <c r="DL102" s="356">
        <v>43282</v>
      </c>
      <c r="DM102" s="356">
        <v>43282</v>
      </c>
      <c r="DN102" s="371" t="s">
        <v>375</v>
      </c>
      <c r="DO102" s="371"/>
      <c r="DP102" s="371">
        <v>5</v>
      </c>
      <c r="DQ102" s="371">
        <v>3</v>
      </c>
      <c r="DR102" s="371">
        <v>4</v>
      </c>
      <c r="DS102" s="494">
        <f>'FPS Pivot Table'!G112</f>
        <v>206.76</v>
      </c>
      <c r="DT102" s="661">
        <f t="shared" si="53"/>
        <v>215.03</v>
      </c>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row>
    <row r="103" spans="13:157">
      <c r="M103" s="177"/>
      <c r="Q103" s="32"/>
      <c r="AP103" s="386">
        <v>43150</v>
      </c>
      <c r="AQ103" s="42"/>
      <c r="AR103" s="42"/>
      <c r="AS103" s="42"/>
      <c r="AT103" s="42"/>
      <c r="AU103" s="42"/>
      <c r="AV103" s="42"/>
      <c r="AW103" s="42"/>
      <c r="AX103" s="314">
        <v>98</v>
      </c>
      <c r="AY103" s="166" t="s">
        <v>4</v>
      </c>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313" t="str">
        <f t="shared" si="50"/>
        <v>454</v>
      </c>
      <c r="CG103" s="356">
        <v>43282</v>
      </c>
      <c r="CH103" s="356">
        <v>43282</v>
      </c>
      <c r="CI103" s="370" t="s">
        <v>15</v>
      </c>
      <c r="CJ103" s="370"/>
      <c r="CK103" s="371">
        <v>5</v>
      </c>
      <c r="CL103" s="371">
        <v>4</v>
      </c>
      <c r="CM103" s="370">
        <v>4</v>
      </c>
      <c r="CN103" s="494">
        <f>'FPS Pivot Table'!D113</f>
        <v>89.55</v>
      </c>
      <c r="CO103" s="158"/>
      <c r="CP103" s="313" t="str">
        <f t="shared" si="51"/>
        <v>454</v>
      </c>
      <c r="CQ103" s="356">
        <v>43282</v>
      </c>
      <c r="CR103" s="356">
        <v>43282</v>
      </c>
      <c r="CS103" s="370" t="s">
        <v>15</v>
      </c>
      <c r="CT103" s="370"/>
      <c r="CU103" s="371">
        <v>5</v>
      </c>
      <c r="CV103" s="371">
        <v>4</v>
      </c>
      <c r="CW103" s="370">
        <v>4</v>
      </c>
      <c r="CX103" s="494">
        <f>'FPS Pivot Table'!E113</f>
        <v>93.13</v>
      </c>
      <c r="CY103" s="661">
        <f t="shared" si="52"/>
        <v>96.86</v>
      </c>
      <c r="CZ103" s="158"/>
      <c r="DA103" s="313" t="str">
        <f t="shared" si="48"/>
        <v>454</v>
      </c>
      <c r="DB103" s="356">
        <v>43282</v>
      </c>
      <c r="DC103" s="356">
        <v>43282</v>
      </c>
      <c r="DD103" s="371" t="s">
        <v>375</v>
      </c>
      <c r="DE103" s="371"/>
      <c r="DF103" s="371">
        <v>5</v>
      </c>
      <c r="DG103" s="371">
        <v>4</v>
      </c>
      <c r="DH103" s="371">
        <v>4</v>
      </c>
      <c r="DI103" s="494">
        <f>'FPS Pivot Table'!F113</f>
        <v>204.34</v>
      </c>
      <c r="DJ103" s="42"/>
      <c r="DK103" s="313" t="str">
        <f t="shared" si="54"/>
        <v>454</v>
      </c>
      <c r="DL103" s="356">
        <v>43282</v>
      </c>
      <c r="DM103" s="356">
        <v>43282</v>
      </c>
      <c r="DN103" s="371" t="s">
        <v>375</v>
      </c>
      <c r="DO103" s="371"/>
      <c r="DP103" s="371">
        <v>5</v>
      </c>
      <c r="DQ103" s="371">
        <v>4</v>
      </c>
      <c r="DR103" s="371">
        <v>4</v>
      </c>
      <c r="DS103" s="494">
        <f>'FPS Pivot Table'!G113</f>
        <v>212.51</v>
      </c>
      <c r="DT103" s="661">
        <f t="shared" si="53"/>
        <v>221.01</v>
      </c>
      <c r="DU103" s="42"/>
      <c r="DV103" s="42"/>
      <c r="DW103" s="42"/>
      <c r="DX103" s="42"/>
      <c r="DY103" s="42"/>
      <c r="DZ103" s="42"/>
      <c r="EA103" s="42"/>
      <c r="EB103" s="42"/>
      <c r="EC103" s="42"/>
      <c r="ED103" s="42"/>
      <c r="EE103" s="42"/>
      <c r="EF103" s="42"/>
      <c r="EG103" s="42"/>
      <c r="EH103" s="42"/>
      <c r="EI103" s="42"/>
      <c r="EJ103" s="42"/>
      <c r="EK103" s="42"/>
      <c r="EL103" s="42"/>
      <c r="EM103" s="42"/>
      <c r="EN103" s="42"/>
      <c r="EO103" s="42"/>
      <c r="EP103" s="42"/>
      <c r="EQ103" s="42"/>
      <c r="ER103" s="42"/>
      <c r="ES103" s="42"/>
      <c r="ET103" s="42"/>
      <c r="EU103" s="42"/>
      <c r="EV103" s="42"/>
      <c r="EW103" s="42"/>
      <c r="EX103" s="42"/>
      <c r="EY103" s="42"/>
      <c r="EZ103" s="42"/>
      <c r="FA103" s="42"/>
    </row>
    <row r="104" spans="13:157">
      <c r="M104" s="177"/>
      <c r="Q104" s="32"/>
      <c r="AP104" s="386">
        <v>43248</v>
      </c>
      <c r="AQ104" s="42" t="s">
        <v>487</v>
      </c>
      <c r="AR104" s="42"/>
      <c r="AS104" s="42"/>
      <c r="AT104" s="42"/>
      <c r="AU104" s="42"/>
      <c r="AV104" s="42"/>
      <c r="AW104" s="42"/>
      <c r="AX104" s="314">
        <v>99</v>
      </c>
      <c r="AY104" s="166" t="s">
        <v>4</v>
      </c>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313" t="str">
        <f t="shared" si="50"/>
        <v>455</v>
      </c>
      <c r="CG104" s="356">
        <v>43282</v>
      </c>
      <c r="CH104" s="356">
        <v>43282</v>
      </c>
      <c r="CI104" s="370" t="s">
        <v>15</v>
      </c>
      <c r="CJ104" s="370"/>
      <c r="CK104" s="371">
        <v>5</v>
      </c>
      <c r="CL104" s="371">
        <v>5</v>
      </c>
      <c r="CM104" s="370">
        <v>4</v>
      </c>
      <c r="CN104" s="494">
        <f>'FPS Pivot Table'!D114</f>
        <v>95.09</v>
      </c>
      <c r="CO104" s="158"/>
      <c r="CP104" s="313" t="str">
        <f t="shared" si="51"/>
        <v>455</v>
      </c>
      <c r="CQ104" s="356">
        <v>43282</v>
      </c>
      <c r="CR104" s="356">
        <v>43282</v>
      </c>
      <c r="CS104" s="370" t="s">
        <v>15</v>
      </c>
      <c r="CT104" s="370"/>
      <c r="CU104" s="371">
        <v>5</v>
      </c>
      <c r="CV104" s="371">
        <v>5</v>
      </c>
      <c r="CW104" s="370">
        <v>4</v>
      </c>
      <c r="CX104" s="494">
        <f>'FPS Pivot Table'!E114</f>
        <v>98.89</v>
      </c>
      <c r="CY104" s="661">
        <f t="shared" si="52"/>
        <v>102.85</v>
      </c>
      <c r="CZ104" s="158"/>
      <c r="DA104" s="313" t="str">
        <f t="shared" si="48"/>
        <v>455</v>
      </c>
      <c r="DB104" s="356">
        <v>43282</v>
      </c>
      <c r="DC104" s="356">
        <v>43282</v>
      </c>
      <c r="DD104" s="371" t="s">
        <v>375</v>
      </c>
      <c r="DE104" s="371"/>
      <c r="DF104" s="371">
        <v>5</v>
      </c>
      <c r="DG104" s="371">
        <v>5</v>
      </c>
      <c r="DH104" s="371">
        <v>4</v>
      </c>
      <c r="DI104" s="494">
        <f>'FPS Pivot Table'!F114</f>
        <v>209.21</v>
      </c>
      <c r="DJ104" s="42"/>
      <c r="DK104" s="313" t="str">
        <f t="shared" si="54"/>
        <v>455</v>
      </c>
      <c r="DL104" s="356">
        <v>43282</v>
      </c>
      <c r="DM104" s="356">
        <v>43282</v>
      </c>
      <c r="DN104" s="371" t="s">
        <v>375</v>
      </c>
      <c r="DO104" s="371"/>
      <c r="DP104" s="371">
        <v>5</v>
      </c>
      <c r="DQ104" s="371">
        <v>5</v>
      </c>
      <c r="DR104" s="371">
        <v>4</v>
      </c>
      <c r="DS104" s="494">
        <f>'FPS Pivot Table'!G114</f>
        <v>217.58</v>
      </c>
      <c r="DT104" s="661">
        <f t="shared" si="53"/>
        <v>226.28</v>
      </c>
      <c r="DU104" s="42"/>
      <c r="DV104" s="42"/>
      <c r="DW104" s="42"/>
      <c r="DX104" s="42"/>
      <c r="DY104" s="42"/>
      <c r="DZ104" s="42"/>
      <c r="EA104" s="42"/>
      <c r="EB104" s="42"/>
      <c r="EC104" s="42"/>
      <c r="ED104" s="42"/>
      <c r="EE104" s="42"/>
      <c r="EF104" s="42"/>
      <c r="EG104" s="42"/>
      <c r="EH104" s="42"/>
      <c r="EI104" s="42"/>
      <c r="EJ104" s="42"/>
      <c r="EK104" s="42"/>
      <c r="EL104" s="42"/>
      <c r="EM104" s="42"/>
      <c r="EN104" s="42"/>
      <c r="EO104" s="42"/>
      <c r="EP104" s="42"/>
      <c r="EQ104" s="42"/>
      <c r="ER104" s="42"/>
      <c r="ES104" s="42"/>
      <c r="ET104" s="42"/>
      <c r="EU104" s="42"/>
      <c r="EV104" s="42"/>
      <c r="EW104" s="42"/>
      <c r="EX104" s="42"/>
      <c r="EY104" s="42"/>
      <c r="EZ104" s="42"/>
      <c r="FA104" s="42"/>
    </row>
    <row r="105" spans="13:157">
      <c r="M105" s="177"/>
      <c r="Q105" s="32"/>
      <c r="AP105" s="386">
        <v>43285</v>
      </c>
      <c r="AQ105" s="42"/>
      <c r="AR105" s="42"/>
      <c r="AS105" s="42"/>
      <c r="AT105" s="42"/>
      <c r="AU105" s="42"/>
      <c r="AV105" s="42"/>
      <c r="AW105" s="42"/>
      <c r="AX105" s="314">
        <v>100</v>
      </c>
      <c r="AY105" s="166" t="s">
        <v>4</v>
      </c>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313" t="str">
        <f t="shared" si="50"/>
        <v>511</v>
      </c>
      <c r="CG105" s="356">
        <v>43282</v>
      </c>
      <c r="CH105" s="356">
        <v>43282</v>
      </c>
      <c r="CI105" s="370" t="s">
        <v>15</v>
      </c>
      <c r="CJ105" s="370"/>
      <c r="CK105" s="371">
        <v>1</v>
      </c>
      <c r="CL105" s="371">
        <v>1</v>
      </c>
      <c r="CM105" s="370">
        <v>5</v>
      </c>
      <c r="CN105" s="494">
        <f>'FPS Pivot Table'!D115</f>
        <v>29.43</v>
      </c>
      <c r="CO105" s="158"/>
      <c r="CP105" s="313" t="str">
        <f t="shared" si="51"/>
        <v>511</v>
      </c>
      <c r="CQ105" s="356">
        <v>43282</v>
      </c>
      <c r="CR105" s="356">
        <v>43282</v>
      </c>
      <c r="CS105" s="370" t="s">
        <v>15</v>
      </c>
      <c r="CT105" s="370"/>
      <c r="CU105" s="371">
        <v>1</v>
      </c>
      <c r="CV105" s="371">
        <v>1</v>
      </c>
      <c r="CW105" s="370">
        <v>5</v>
      </c>
      <c r="CX105" s="494">
        <f>'FPS Pivot Table'!E115</f>
        <v>30.61</v>
      </c>
      <c r="CY105" s="661">
        <f t="shared" si="52"/>
        <v>31.83</v>
      </c>
      <c r="CZ105" s="158"/>
      <c r="DA105" s="313" t="str">
        <f t="shared" si="48"/>
        <v>511</v>
      </c>
      <c r="DB105" s="356">
        <v>43282</v>
      </c>
      <c r="DC105" s="356">
        <v>43282</v>
      </c>
      <c r="DD105" s="371" t="s">
        <v>375</v>
      </c>
      <c r="DE105" s="371"/>
      <c r="DF105" s="371">
        <v>1</v>
      </c>
      <c r="DG105" s="371">
        <v>1</v>
      </c>
      <c r="DH105" s="371">
        <v>5</v>
      </c>
      <c r="DI105" s="494">
        <f>'FPS Pivot Table'!F115</f>
        <v>28.83</v>
      </c>
      <c r="DJ105" s="42"/>
      <c r="DK105" s="313" t="str">
        <f t="shared" si="54"/>
        <v>511</v>
      </c>
      <c r="DL105" s="356">
        <v>43282</v>
      </c>
      <c r="DM105" s="356">
        <v>43282</v>
      </c>
      <c r="DN105" s="371" t="s">
        <v>375</v>
      </c>
      <c r="DO105" s="371"/>
      <c r="DP105" s="371">
        <v>1</v>
      </c>
      <c r="DQ105" s="371">
        <v>1</v>
      </c>
      <c r="DR105" s="371">
        <v>5</v>
      </c>
      <c r="DS105" s="494">
        <f>'FPS Pivot Table'!G115</f>
        <v>29.97</v>
      </c>
      <c r="DT105" s="661">
        <f t="shared" si="53"/>
        <v>31.17</v>
      </c>
      <c r="DU105" s="42"/>
      <c r="DV105" s="42"/>
      <c r="DW105" s="42"/>
      <c r="DX105" s="42"/>
      <c r="DY105" s="42"/>
      <c r="DZ105" s="42"/>
      <c r="EA105" s="42"/>
      <c r="EB105" s="42"/>
      <c r="EC105" s="42"/>
      <c r="ED105" s="42"/>
      <c r="EE105" s="42"/>
      <c r="EF105" s="42"/>
      <c r="EG105" s="42"/>
      <c r="EH105" s="42"/>
      <c r="EI105" s="42"/>
      <c r="EJ105" s="42"/>
      <c r="EK105" s="42"/>
      <c r="EL105" s="42"/>
      <c r="EM105" s="42"/>
      <c r="EN105" s="42"/>
      <c r="EO105" s="42"/>
      <c r="EP105" s="42"/>
      <c r="EQ105" s="42"/>
      <c r="ER105" s="42"/>
      <c r="ES105" s="42"/>
      <c r="ET105" s="42"/>
      <c r="EU105" s="42"/>
      <c r="EV105" s="42"/>
      <c r="EW105" s="42"/>
      <c r="EX105" s="42"/>
      <c r="EY105" s="42"/>
      <c r="EZ105" s="42"/>
      <c r="FA105" s="42"/>
    </row>
    <row r="106" spans="13:157" ht="15" thickBot="1">
      <c r="M106" s="177"/>
      <c r="Q106" s="32"/>
      <c r="AP106" s="386">
        <v>43346</v>
      </c>
      <c r="AQ106" s="42"/>
      <c r="AR106" s="42"/>
      <c r="AS106" s="42"/>
      <c r="AT106" s="42"/>
      <c r="AU106" s="42"/>
      <c r="AV106" s="42"/>
      <c r="AW106" s="42"/>
      <c r="AX106" s="314">
        <v>101</v>
      </c>
      <c r="AY106" s="166" t="s">
        <v>4</v>
      </c>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313" t="str">
        <f t="shared" si="50"/>
        <v>512</v>
      </c>
      <c r="CG106" s="356">
        <v>43282</v>
      </c>
      <c r="CH106" s="356">
        <v>43282</v>
      </c>
      <c r="CI106" s="370" t="s">
        <v>15</v>
      </c>
      <c r="CJ106" s="370"/>
      <c r="CK106" s="371">
        <v>1</v>
      </c>
      <c r="CL106" s="371">
        <v>2</v>
      </c>
      <c r="CM106" s="370">
        <v>5</v>
      </c>
      <c r="CN106" s="494">
        <f>'FPS Pivot Table'!D116</f>
        <v>32.479999999999997</v>
      </c>
      <c r="CO106" s="158"/>
      <c r="CP106" s="313" t="str">
        <f t="shared" si="51"/>
        <v>512</v>
      </c>
      <c r="CQ106" s="356">
        <v>43282</v>
      </c>
      <c r="CR106" s="356">
        <v>43282</v>
      </c>
      <c r="CS106" s="370" t="s">
        <v>15</v>
      </c>
      <c r="CT106" s="370"/>
      <c r="CU106" s="371">
        <v>1</v>
      </c>
      <c r="CV106" s="371">
        <v>2</v>
      </c>
      <c r="CW106" s="370">
        <v>5</v>
      </c>
      <c r="CX106" s="494">
        <f>'FPS Pivot Table'!E116</f>
        <v>33.78</v>
      </c>
      <c r="CY106" s="661">
        <f t="shared" si="52"/>
        <v>35.130000000000003</v>
      </c>
      <c r="CZ106" s="158"/>
      <c r="DA106" s="313" t="str">
        <f t="shared" si="48"/>
        <v>512</v>
      </c>
      <c r="DB106" s="356">
        <v>43282</v>
      </c>
      <c r="DC106" s="356">
        <v>43282</v>
      </c>
      <c r="DD106" s="371" t="s">
        <v>375</v>
      </c>
      <c r="DE106" s="377"/>
      <c r="DF106" s="377">
        <v>1</v>
      </c>
      <c r="DG106" s="377">
        <v>2</v>
      </c>
      <c r="DH106" s="377">
        <v>5</v>
      </c>
      <c r="DI106" s="494">
        <f>'FPS Pivot Table'!F116</f>
        <v>31.51</v>
      </c>
      <c r="DJ106" s="42"/>
      <c r="DK106" s="313" t="str">
        <f t="shared" si="54"/>
        <v>512</v>
      </c>
      <c r="DL106" s="356">
        <v>43282</v>
      </c>
      <c r="DM106" s="356">
        <v>43282</v>
      </c>
      <c r="DN106" s="371" t="s">
        <v>375</v>
      </c>
      <c r="DO106" s="377"/>
      <c r="DP106" s="377">
        <v>1</v>
      </c>
      <c r="DQ106" s="377">
        <v>2</v>
      </c>
      <c r="DR106" s="377">
        <v>5</v>
      </c>
      <c r="DS106" s="494">
        <f>'FPS Pivot Table'!G116</f>
        <v>32.78</v>
      </c>
      <c r="DT106" s="661">
        <f t="shared" si="53"/>
        <v>34.090000000000003</v>
      </c>
      <c r="DU106" s="42"/>
      <c r="DV106" s="42"/>
      <c r="DW106" s="42"/>
      <c r="DX106" s="42"/>
      <c r="DY106" s="42"/>
      <c r="DZ106" s="42"/>
      <c r="EA106" s="42"/>
      <c r="EB106" s="42"/>
      <c r="EC106" s="42"/>
      <c r="ED106" s="42"/>
      <c r="EE106" s="42"/>
      <c r="EF106" s="42"/>
      <c r="EG106" s="42"/>
      <c r="EH106" s="42"/>
      <c r="EI106" s="42"/>
      <c r="EJ106" s="42"/>
      <c r="EK106" s="42"/>
      <c r="EL106" s="42"/>
      <c r="EM106" s="42"/>
      <c r="EN106" s="42"/>
      <c r="EO106" s="42"/>
      <c r="EP106" s="42"/>
      <c r="EQ106" s="42"/>
      <c r="ER106" s="42"/>
      <c r="ES106" s="42"/>
      <c r="ET106" s="42"/>
      <c r="EU106" s="42"/>
      <c r="EV106" s="42"/>
      <c r="EW106" s="42"/>
      <c r="EX106" s="42"/>
      <c r="EY106" s="42"/>
      <c r="EZ106" s="42"/>
      <c r="FA106" s="42"/>
    </row>
    <row r="107" spans="13:157">
      <c r="M107" s="177"/>
      <c r="Q107" s="32"/>
      <c r="AP107" s="386">
        <v>43381</v>
      </c>
      <c r="AQ107" s="337" t="s">
        <v>268</v>
      </c>
      <c r="AR107" s="569">
        <v>31</v>
      </c>
      <c r="AS107" s="42"/>
      <c r="AT107" s="42"/>
      <c r="AU107" s="42"/>
      <c r="AV107" s="42"/>
      <c r="AW107" s="42"/>
      <c r="AX107" s="314">
        <v>102</v>
      </c>
      <c r="AY107" s="166" t="s">
        <v>4</v>
      </c>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313" t="str">
        <f t="shared" si="50"/>
        <v>513</v>
      </c>
      <c r="CG107" s="356">
        <v>43282</v>
      </c>
      <c r="CH107" s="356">
        <v>43282</v>
      </c>
      <c r="CI107" s="370" t="s">
        <v>15</v>
      </c>
      <c r="CJ107" s="370"/>
      <c r="CK107" s="371">
        <v>1</v>
      </c>
      <c r="CL107" s="371">
        <v>3</v>
      </c>
      <c r="CM107" s="370">
        <v>5</v>
      </c>
      <c r="CN107" s="494">
        <f>'FPS Pivot Table'!D117</f>
        <v>37.450000000000003</v>
      </c>
      <c r="CO107" s="158"/>
      <c r="CP107" s="313" t="str">
        <f t="shared" si="51"/>
        <v>513</v>
      </c>
      <c r="CQ107" s="356">
        <v>43282</v>
      </c>
      <c r="CR107" s="356">
        <v>43282</v>
      </c>
      <c r="CS107" s="370" t="s">
        <v>15</v>
      </c>
      <c r="CT107" s="370"/>
      <c r="CU107" s="371">
        <v>1</v>
      </c>
      <c r="CV107" s="371">
        <v>3</v>
      </c>
      <c r="CW107" s="370">
        <v>5</v>
      </c>
      <c r="CX107" s="494">
        <f>'FPS Pivot Table'!E117</f>
        <v>38.94</v>
      </c>
      <c r="CY107" s="661">
        <f t="shared" si="52"/>
        <v>40.5</v>
      </c>
      <c r="CZ107" s="158"/>
      <c r="DA107" s="313" t="str">
        <f t="shared" si="48"/>
        <v>513</v>
      </c>
      <c r="DB107" s="356">
        <v>43282</v>
      </c>
      <c r="DC107" s="356">
        <v>43282</v>
      </c>
      <c r="DD107" s="371" t="s">
        <v>375</v>
      </c>
      <c r="DE107" s="377"/>
      <c r="DF107" s="377">
        <v>1</v>
      </c>
      <c r="DG107" s="377">
        <v>3</v>
      </c>
      <c r="DH107" s="377">
        <v>5</v>
      </c>
      <c r="DI107" s="494">
        <f>'FPS Pivot Table'!F117</f>
        <v>35.880000000000003</v>
      </c>
      <c r="DJ107" s="42"/>
      <c r="DK107" s="313" t="str">
        <f t="shared" si="54"/>
        <v>513</v>
      </c>
      <c r="DL107" s="356">
        <v>43282</v>
      </c>
      <c r="DM107" s="356">
        <v>43282</v>
      </c>
      <c r="DN107" s="371" t="s">
        <v>375</v>
      </c>
      <c r="DO107" s="377"/>
      <c r="DP107" s="377">
        <v>1</v>
      </c>
      <c r="DQ107" s="377">
        <v>3</v>
      </c>
      <c r="DR107" s="377">
        <v>5</v>
      </c>
      <c r="DS107" s="494">
        <f>'FPS Pivot Table'!G117</f>
        <v>37.32</v>
      </c>
      <c r="DT107" s="661">
        <f t="shared" si="53"/>
        <v>38.81</v>
      </c>
      <c r="DU107" s="42"/>
      <c r="DV107" s="42"/>
      <c r="DW107" s="42"/>
      <c r="DX107" s="42"/>
      <c r="DY107" s="42"/>
      <c r="DZ107" s="42"/>
      <c r="EA107" s="42"/>
      <c r="EB107" s="42"/>
      <c r="EC107" s="42"/>
      <c r="ED107" s="42"/>
      <c r="EE107" s="42"/>
      <c r="EF107" s="42"/>
      <c r="EG107" s="42"/>
      <c r="EH107" s="42"/>
      <c r="EI107" s="42"/>
      <c r="EJ107" s="42"/>
      <c r="EK107" s="42"/>
      <c r="EL107" s="42"/>
      <c r="EM107" s="42"/>
      <c r="EN107" s="42"/>
      <c r="EO107" s="42"/>
      <c r="EP107" s="42"/>
      <c r="EQ107" s="42"/>
      <c r="ER107" s="42"/>
      <c r="ES107" s="42"/>
      <c r="ET107" s="42"/>
      <c r="EU107" s="42"/>
      <c r="EV107" s="42"/>
      <c r="EW107" s="42"/>
      <c r="EX107" s="42"/>
      <c r="EY107" s="42"/>
      <c r="EZ107" s="42"/>
      <c r="FA107" s="42"/>
    </row>
    <row r="108" spans="13:157">
      <c r="M108" s="177"/>
      <c r="Q108" s="32"/>
      <c r="AP108" s="386">
        <v>43416</v>
      </c>
      <c r="AQ108" s="338" t="s">
        <v>269</v>
      </c>
      <c r="AR108" s="570">
        <v>31</v>
      </c>
      <c r="AS108" s="42"/>
      <c r="AT108" s="42"/>
      <c r="AU108" s="42"/>
      <c r="AV108" s="42"/>
      <c r="AW108" s="42"/>
      <c r="AX108" s="314">
        <v>103</v>
      </c>
      <c r="AY108" s="166" t="s">
        <v>4</v>
      </c>
      <c r="AZ108" s="42"/>
      <c r="BA108" s="42"/>
      <c r="BB108" s="42"/>
      <c r="BC108" s="42"/>
      <c r="BD108" s="42"/>
      <c r="BE108" s="42"/>
      <c r="BF108" s="42"/>
      <c r="BG108" s="42"/>
      <c r="BH108" s="42"/>
      <c r="BI108" s="42"/>
      <c r="BJ108" s="42"/>
      <c r="BK108" s="42"/>
      <c r="BL108" s="42"/>
      <c r="BM108" s="42"/>
      <c r="BN108" s="42"/>
      <c r="BO108" s="42"/>
      <c r="BP108" s="42"/>
      <c r="BQ108" s="42"/>
      <c r="BR108" s="42"/>
      <c r="BS108" s="42"/>
      <c r="BT108" s="42"/>
      <c r="BU108" s="42"/>
      <c r="BV108" s="42"/>
      <c r="BW108" s="42"/>
      <c r="BX108" s="42"/>
      <c r="BY108" s="42"/>
      <c r="BZ108" s="42"/>
      <c r="CA108" s="42"/>
      <c r="CB108" s="42"/>
      <c r="CC108" s="42"/>
      <c r="CD108" s="42"/>
      <c r="CE108" s="42"/>
      <c r="CF108" s="313" t="str">
        <f t="shared" si="50"/>
        <v>514</v>
      </c>
      <c r="CG108" s="356">
        <v>43282</v>
      </c>
      <c r="CH108" s="356">
        <v>43282</v>
      </c>
      <c r="CI108" s="370" t="s">
        <v>15</v>
      </c>
      <c r="CJ108" s="370"/>
      <c r="CK108" s="371">
        <v>1</v>
      </c>
      <c r="CL108" s="371">
        <v>4</v>
      </c>
      <c r="CM108" s="370">
        <v>5</v>
      </c>
      <c r="CN108" s="494">
        <f>'FPS Pivot Table'!D118</f>
        <v>44.17</v>
      </c>
      <c r="CO108" s="158"/>
      <c r="CP108" s="313" t="str">
        <f t="shared" si="51"/>
        <v>514</v>
      </c>
      <c r="CQ108" s="356">
        <v>43282</v>
      </c>
      <c r="CR108" s="356">
        <v>43282</v>
      </c>
      <c r="CS108" s="370" t="s">
        <v>15</v>
      </c>
      <c r="CT108" s="370"/>
      <c r="CU108" s="371">
        <v>1</v>
      </c>
      <c r="CV108" s="371">
        <v>4</v>
      </c>
      <c r="CW108" s="370">
        <v>5</v>
      </c>
      <c r="CX108" s="494">
        <f>'FPS Pivot Table'!E118</f>
        <v>45.94</v>
      </c>
      <c r="CY108" s="661">
        <f t="shared" si="52"/>
        <v>47.78</v>
      </c>
      <c r="CZ108" s="158"/>
      <c r="DA108" s="313" t="str">
        <f t="shared" si="48"/>
        <v>514</v>
      </c>
      <c r="DB108" s="356">
        <v>43282</v>
      </c>
      <c r="DC108" s="356">
        <v>43282</v>
      </c>
      <c r="DD108" s="371" t="s">
        <v>375</v>
      </c>
      <c r="DE108" s="377"/>
      <c r="DF108" s="377">
        <v>1</v>
      </c>
      <c r="DG108" s="377">
        <v>4</v>
      </c>
      <c r="DH108" s="377">
        <v>5</v>
      </c>
      <c r="DI108" s="494">
        <f>'FPS Pivot Table'!F118</f>
        <v>41.77</v>
      </c>
      <c r="DJ108" s="42"/>
      <c r="DK108" s="313" t="str">
        <f t="shared" si="54"/>
        <v>514</v>
      </c>
      <c r="DL108" s="356">
        <v>43282</v>
      </c>
      <c r="DM108" s="356">
        <v>43282</v>
      </c>
      <c r="DN108" s="371" t="s">
        <v>375</v>
      </c>
      <c r="DO108" s="377"/>
      <c r="DP108" s="377">
        <v>1</v>
      </c>
      <c r="DQ108" s="377">
        <v>4</v>
      </c>
      <c r="DR108" s="377">
        <v>5</v>
      </c>
      <c r="DS108" s="494">
        <f>'FPS Pivot Table'!G118</f>
        <v>43.44</v>
      </c>
      <c r="DT108" s="661">
        <f t="shared" si="53"/>
        <v>45.18</v>
      </c>
      <c r="DU108" s="42"/>
      <c r="DV108" s="42"/>
      <c r="DW108" s="42"/>
      <c r="DX108" s="42"/>
      <c r="DY108" s="42"/>
      <c r="DZ108" s="42"/>
      <c r="EA108" s="42"/>
      <c r="EB108" s="42"/>
      <c r="EC108" s="42"/>
      <c r="ED108" s="42"/>
      <c r="EE108" s="42"/>
      <c r="EF108" s="42"/>
      <c r="EG108" s="42"/>
      <c r="EH108" s="42"/>
      <c r="EI108" s="42"/>
      <c r="EJ108" s="42"/>
      <c r="EK108" s="42"/>
      <c r="EL108" s="42"/>
      <c r="EM108" s="42"/>
      <c r="EN108" s="42"/>
      <c r="EO108" s="42"/>
      <c r="EP108" s="42"/>
      <c r="EQ108" s="42"/>
      <c r="ER108" s="42"/>
      <c r="ES108" s="42"/>
      <c r="ET108" s="42"/>
      <c r="EU108" s="42"/>
      <c r="EV108" s="42"/>
      <c r="EW108" s="42"/>
      <c r="EX108" s="42"/>
      <c r="EY108" s="42"/>
      <c r="EZ108" s="42"/>
      <c r="FA108" s="42"/>
    </row>
    <row r="109" spans="13:157">
      <c r="M109" s="177"/>
      <c r="Q109" s="32"/>
      <c r="AP109" s="386">
        <v>43426</v>
      </c>
      <c r="AQ109" s="338" t="s">
        <v>270</v>
      </c>
      <c r="AR109" s="570">
        <v>30</v>
      </c>
      <c r="AS109" s="42"/>
      <c r="AT109" s="42"/>
      <c r="AU109" s="42"/>
      <c r="AV109" s="42"/>
      <c r="AW109" s="42"/>
      <c r="AX109" s="314">
        <v>104</v>
      </c>
      <c r="AY109" s="166" t="s">
        <v>4</v>
      </c>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313" t="str">
        <f t="shared" si="50"/>
        <v>515</v>
      </c>
      <c r="CG109" s="356">
        <v>43282</v>
      </c>
      <c r="CH109" s="356">
        <v>43282</v>
      </c>
      <c r="CI109" s="370" t="s">
        <v>15</v>
      </c>
      <c r="CJ109" s="370"/>
      <c r="CK109" s="371">
        <v>1</v>
      </c>
      <c r="CL109" s="371">
        <v>5</v>
      </c>
      <c r="CM109" s="370">
        <v>5</v>
      </c>
      <c r="CN109" s="494">
        <f>'FPS Pivot Table'!D119</f>
        <v>50.06</v>
      </c>
      <c r="CO109" s="158"/>
      <c r="CP109" s="313" t="str">
        <f t="shared" si="51"/>
        <v>515</v>
      </c>
      <c r="CQ109" s="356">
        <v>43282</v>
      </c>
      <c r="CR109" s="356">
        <v>43282</v>
      </c>
      <c r="CS109" s="370" t="s">
        <v>15</v>
      </c>
      <c r="CT109" s="370"/>
      <c r="CU109" s="371">
        <v>1</v>
      </c>
      <c r="CV109" s="371">
        <v>5</v>
      </c>
      <c r="CW109" s="370">
        <v>5</v>
      </c>
      <c r="CX109" s="494">
        <f>'FPS Pivot Table'!E119</f>
        <v>52.06</v>
      </c>
      <c r="CY109" s="661">
        <f t="shared" si="52"/>
        <v>54.14</v>
      </c>
      <c r="CZ109" s="158"/>
      <c r="DA109" s="313" t="str">
        <f t="shared" si="48"/>
        <v>515</v>
      </c>
      <c r="DB109" s="356">
        <v>43282</v>
      </c>
      <c r="DC109" s="356">
        <v>43282</v>
      </c>
      <c r="DD109" s="371" t="s">
        <v>375</v>
      </c>
      <c r="DE109" s="377"/>
      <c r="DF109" s="377">
        <v>1</v>
      </c>
      <c r="DG109" s="377">
        <v>5</v>
      </c>
      <c r="DH109" s="377">
        <v>5</v>
      </c>
      <c r="DI109" s="494">
        <f>'FPS Pivot Table'!F119</f>
        <v>46.92</v>
      </c>
      <c r="DJ109" s="42"/>
      <c r="DK109" s="313" t="str">
        <f t="shared" si="54"/>
        <v>515</v>
      </c>
      <c r="DL109" s="356">
        <v>43282</v>
      </c>
      <c r="DM109" s="356">
        <v>43282</v>
      </c>
      <c r="DN109" s="371" t="s">
        <v>375</v>
      </c>
      <c r="DO109" s="377"/>
      <c r="DP109" s="377">
        <v>1</v>
      </c>
      <c r="DQ109" s="377">
        <v>5</v>
      </c>
      <c r="DR109" s="377">
        <v>5</v>
      </c>
      <c r="DS109" s="494">
        <f>'FPS Pivot Table'!G119</f>
        <v>48.8</v>
      </c>
      <c r="DT109" s="661">
        <f t="shared" si="53"/>
        <v>50.75</v>
      </c>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row>
    <row r="110" spans="13:157">
      <c r="M110" s="177"/>
      <c r="Q110" s="32"/>
      <c r="AP110" s="386">
        <v>43459</v>
      </c>
      <c r="AQ110" s="338" t="s">
        <v>271</v>
      </c>
      <c r="AR110" s="570">
        <v>31</v>
      </c>
      <c r="AS110" s="42"/>
      <c r="AT110" s="42"/>
      <c r="AU110" s="42"/>
      <c r="AV110" s="42"/>
      <c r="AW110" s="42"/>
      <c r="AX110" s="314">
        <v>105</v>
      </c>
      <c r="AY110" s="166" t="s">
        <v>4</v>
      </c>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313" t="str">
        <f t="shared" si="50"/>
        <v>521</v>
      </c>
      <c r="CG110" s="356">
        <v>43282</v>
      </c>
      <c r="CH110" s="356">
        <v>43282</v>
      </c>
      <c r="CI110" s="370" t="s">
        <v>15</v>
      </c>
      <c r="CJ110" s="370"/>
      <c r="CK110" s="371">
        <v>2</v>
      </c>
      <c r="CL110" s="371">
        <v>1</v>
      </c>
      <c r="CM110" s="370">
        <v>5</v>
      </c>
      <c r="CN110" s="494">
        <f>'FPS Pivot Table'!D120</f>
        <v>35.17</v>
      </c>
      <c r="CO110" s="158"/>
      <c r="CP110" s="313" t="str">
        <f t="shared" si="51"/>
        <v>521</v>
      </c>
      <c r="CQ110" s="356">
        <v>43282</v>
      </c>
      <c r="CR110" s="356">
        <v>43282</v>
      </c>
      <c r="CS110" s="370" t="s">
        <v>15</v>
      </c>
      <c r="CT110" s="370"/>
      <c r="CU110" s="371">
        <v>2</v>
      </c>
      <c r="CV110" s="371">
        <v>1</v>
      </c>
      <c r="CW110" s="370">
        <v>5</v>
      </c>
      <c r="CX110" s="494">
        <f>'FPS Pivot Table'!E120</f>
        <v>36.57</v>
      </c>
      <c r="CY110" s="661">
        <f t="shared" si="52"/>
        <v>38.03</v>
      </c>
      <c r="CZ110" s="158"/>
      <c r="DA110" s="313" t="str">
        <f t="shared" si="48"/>
        <v>521</v>
      </c>
      <c r="DB110" s="356">
        <v>43282</v>
      </c>
      <c r="DC110" s="356">
        <v>43282</v>
      </c>
      <c r="DD110" s="371" t="s">
        <v>375</v>
      </c>
      <c r="DE110" s="377"/>
      <c r="DF110" s="377">
        <v>2</v>
      </c>
      <c r="DG110" s="377">
        <v>1</v>
      </c>
      <c r="DH110" s="377">
        <v>5</v>
      </c>
      <c r="DI110" s="494">
        <f>'FPS Pivot Table'!F120</f>
        <v>51.59</v>
      </c>
      <c r="DJ110" s="42"/>
      <c r="DK110" s="313" t="str">
        <f t="shared" si="54"/>
        <v>521</v>
      </c>
      <c r="DL110" s="356">
        <v>43282</v>
      </c>
      <c r="DM110" s="356">
        <v>43282</v>
      </c>
      <c r="DN110" s="371" t="s">
        <v>375</v>
      </c>
      <c r="DO110" s="377"/>
      <c r="DP110" s="377">
        <v>2</v>
      </c>
      <c r="DQ110" s="377">
        <v>1</v>
      </c>
      <c r="DR110" s="377">
        <v>5</v>
      </c>
      <c r="DS110" s="494">
        <f>'FPS Pivot Table'!G120</f>
        <v>53.66</v>
      </c>
      <c r="DT110" s="661">
        <f t="shared" si="53"/>
        <v>55.81</v>
      </c>
      <c r="DU110" s="42"/>
      <c r="DV110" s="42"/>
      <c r="DW110" s="42"/>
      <c r="DX110" s="42"/>
      <c r="DY110" s="42"/>
      <c r="DZ110" s="42"/>
      <c r="EA110" s="42"/>
      <c r="EB110" s="42"/>
      <c r="EC110" s="42"/>
      <c r="ED110" s="42"/>
      <c r="EE110" s="42"/>
      <c r="EF110" s="42"/>
      <c r="EG110" s="42"/>
      <c r="EH110" s="42"/>
      <c r="EI110" s="42"/>
      <c r="EJ110" s="42"/>
      <c r="EK110" s="42"/>
      <c r="EL110" s="42"/>
      <c r="EM110" s="42"/>
      <c r="EN110" s="42"/>
      <c r="EO110" s="42"/>
      <c r="EP110" s="42"/>
      <c r="EQ110" s="42"/>
      <c r="ER110" s="42"/>
      <c r="ES110" s="42"/>
      <c r="ET110" s="42"/>
      <c r="EU110" s="42"/>
      <c r="EV110" s="42"/>
      <c r="EW110" s="42"/>
      <c r="EX110" s="42"/>
      <c r="EY110" s="42"/>
      <c r="EZ110" s="42"/>
      <c r="FA110" s="42"/>
    </row>
    <row r="111" spans="13:157">
      <c r="M111" s="177"/>
      <c r="Q111" s="32"/>
      <c r="AP111" s="386">
        <v>43466</v>
      </c>
      <c r="AQ111" s="338" t="s">
        <v>272</v>
      </c>
      <c r="AR111" s="570">
        <v>30</v>
      </c>
      <c r="AS111" s="42"/>
      <c r="AT111" s="42"/>
      <c r="AU111" s="42"/>
      <c r="AV111" s="42"/>
      <c r="AW111" s="42"/>
      <c r="AX111" s="314">
        <v>106</v>
      </c>
      <c r="AY111" s="166" t="s">
        <v>4</v>
      </c>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313" t="str">
        <f t="shared" si="50"/>
        <v>522</v>
      </c>
      <c r="CG111" s="356">
        <v>43282</v>
      </c>
      <c r="CH111" s="356">
        <v>43282</v>
      </c>
      <c r="CI111" s="370" t="s">
        <v>15</v>
      </c>
      <c r="CJ111" s="370"/>
      <c r="CK111" s="371">
        <v>2</v>
      </c>
      <c r="CL111" s="371">
        <v>2</v>
      </c>
      <c r="CM111" s="370">
        <v>5</v>
      </c>
      <c r="CN111" s="494">
        <f>'FPS Pivot Table'!D121</f>
        <v>38.21</v>
      </c>
      <c r="CO111" s="158"/>
      <c r="CP111" s="313" t="str">
        <f t="shared" si="51"/>
        <v>522</v>
      </c>
      <c r="CQ111" s="356">
        <v>43282</v>
      </c>
      <c r="CR111" s="356">
        <v>43282</v>
      </c>
      <c r="CS111" s="370" t="s">
        <v>15</v>
      </c>
      <c r="CT111" s="370"/>
      <c r="CU111" s="371">
        <v>2</v>
      </c>
      <c r="CV111" s="371">
        <v>2</v>
      </c>
      <c r="CW111" s="370">
        <v>5</v>
      </c>
      <c r="CX111" s="494">
        <f>'FPS Pivot Table'!E121</f>
        <v>39.74</v>
      </c>
      <c r="CY111" s="661">
        <f t="shared" si="52"/>
        <v>41.33</v>
      </c>
      <c r="CZ111" s="158"/>
      <c r="DA111" s="313" t="str">
        <f t="shared" si="48"/>
        <v>522</v>
      </c>
      <c r="DB111" s="356">
        <v>43282</v>
      </c>
      <c r="DC111" s="356">
        <v>43282</v>
      </c>
      <c r="DD111" s="371" t="s">
        <v>375</v>
      </c>
      <c r="DE111" s="377"/>
      <c r="DF111" s="377">
        <v>2</v>
      </c>
      <c r="DG111" s="377">
        <v>2</v>
      </c>
      <c r="DH111" s="377">
        <v>5</v>
      </c>
      <c r="DI111" s="494">
        <f>'FPS Pivot Table'!F121</f>
        <v>54.29</v>
      </c>
      <c r="DJ111" s="42"/>
      <c r="DK111" s="313" t="str">
        <f t="shared" si="54"/>
        <v>522</v>
      </c>
      <c r="DL111" s="356">
        <v>43282</v>
      </c>
      <c r="DM111" s="356">
        <v>43282</v>
      </c>
      <c r="DN111" s="371" t="s">
        <v>375</v>
      </c>
      <c r="DO111" s="377"/>
      <c r="DP111" s="377">
        <v>2</v>
      </c>
      <c r="DQ111" s="377">
        <v>2</v>
      </c>
      <c r="DR111" s="377">
        <v>5</v>
      </c>
      <c r="DS111" s="494">
        <f>'FPS Pivot Table'!G121</f>
        <v>56.46</v>
      </c>
      <c r="DT111" s="661">
        <f t="shared" si="53"/>
        <v>58.72</v>
      </c>
      <c r="DU111" s="42"/>
      <c r="DV111" s="42"/>
      <c r="DW111" s="42"/>
      <c r="DX111" s="42"/>
      <c r="DY111" s="42"/>
      <c r="DZ111" s="42"/>
      <c r="EA111" s="42"/>
      <c r="EB111" s="42"/>
      <c r="EC111" s="42"/>
      <c r="ED111" s="42"/>
      <c r="EE111" s="42"/>
      <c r="EF111" s="42"/>
      <c r="EG111" s="42"/>
      <c r="EH111" s="42"/>
      <c r="EI111" s="42"/>
      <c r="EJ111" s="42"/>
      <c r="EK111" s="42"/>
      <c r="EL111" s="42"/>
      <c r="EM111" s="42"/>
      <c r="EN111" s="42"/>
      <c r="EO111" s="42"/>
      <c r="EP111" s="42"/>
      <c r="EQ111" s="42"/>
      <c r="ER111" s="42"/>
      <c r="ES111" s="42"/>
      <c r="ET111" s="42"/>
      <c r="EU111" s="42"/>
      <c r="EV111" s="42"/>
      <c r="EW111" s="42"/>
      <c r="EX111" s="42"/>
      <c r="EY111" s="42"/>
      <c r="EZ111" s="42"/>
      <c r="FA111" s="42"/>
    </row>
    <row r="112" spans="13:157">
      <c r="M112" s="177"/>
      <c r="Q112" s="32"/>
      <c r="AP112" s="386">
        <v>43486</v>
      </c>
      <c r="AQ112" s="338" t="s">
        <v>273</v>
      </c>
      <c r="AR112" s="570">
        <v>31</v>
      </c>
      <c r="AS112" s="42"/>
      <c r="AT112" s="42"/>
      <c r="AU112" s="42"/>
      <c r="AV112" s="42"/>
      <c r="AW112" s="42"/>
      <c r="AX112" s="314">
        <v>107</v>
      </c>
      <c r="AY112" s="166" t="s">
        <v>4</v>
      </c>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313" t="str">
        <f t="shared" si="50"/>
        <v>523</v>
      </c>
      <c r="CG112" s="356">
        <v>43282</v>
      </c>
      <c r="CH112" s="356">
        <v>43282</v>
      </c>
      <c r="CI112" s="370" t="s">
        <v>15</v>
      </c>
      <c r="CJ112" s="370"/>
      <c r="CK112" s="371">
        <v>2</v>
      </c>
      <c r="CL112" s="371">
        <v>3</v>
      </c>
      <c r="CM112" s="370">
        <v>5</v>
      </c>
      <c r="CN112" s="494">
        <f>'FPS Pivot Table'!D122</f>
        <v>43.21</v>
      </c>
      <c r="CO112" s="158"/>
      <c r="CP112" s="313" t="str">
        <f t="shared" si="51"/>
        <v>523</v>
      </c>
      <c r="CQ112" s="356">
        <v>43282</v>
      </c>
      <c r="CR112" s="356">
        <v>43282</v>
      </c>
      <c r="CS112" s="370" t="s">
        <v>15</v>
      </c>
      <c r="CT112" s="370"/>
      <c r="CU112" s="371">
        <v>2</v>
      </c>
      <c r="CV112" s="371">
        <v>3</v>
      </c>
      <c r="CW112" s="370">
        <v>5</v>
      </c>
      <c r="CX112" s="494">
        <f>'FPS Pivot Table'!E122</f>
        <v>44.94</v>
      </c>
      <c r="CY112" s="661">
        <f t="shared" si="52"/>
        <v>46.74</v>
      </c>
      <c r="CZ112" s="158"/>
      <c r="DA112" s="313" t="str">
        <f t="shared" si="48"/>
        <v>523</v>
      </c>
      <c r="DB112" s="356">
        <v>43282</v>
      </c>
      <c r="DC112" s="356">
        <v>43282</v>
      </c>
      <c r="DD112" s="371" t="s">
        <v>375</v>
      </c>
      <c r="DE112" s="377"/>
      <c r="DF112" s="377">
        <v>2</v>
      </c>
      <c r="DG112" s="377">
        <v>3</v>
      </c>
      <c r="DH112" s="377">
        <v>5</v>
      </c>
      <c r="DI112" s="494">
        <f>'FPS Pivot Table'!F122</f>
        <v>58.64</v>
      </c>
      <c r="DJ112" s="42"/>
      <c r="DK112" s="313" t="str">
        <f t="shared" si="54"/>
        <v>523</v>
      </c>
      <c r="DL112" s="356">
        <v>43282</v>
      </c>
      <c r="DM112" s="356">
        <v>43282</v>
      </c>
      <c r="DN112" s="371" t="s">
        <v>375</v>
      </c>
      <c r="DO112" s="377"/>
      <c r="DP112" s="377">
        <v>2</v>
      </c>
      <c r="DQ112" s="377">
        <v>3</v>
      </c>
      <c r="DR112" s="377">
        <v>5</v>
      </c>
      <c r="DS112" s="494">
        <f>'FPS Pivot Table'!G122</f>
        <v>60.99</v>
      </c>
      <c r="DT112" s="661">
        <f t="shared" si="53"/>
        <v>63.43</v>
      </c>
      <c r="DU112" s="42"/>
      <c r="DV112" s="42"/>
      <c r="DW112" s="42"/>
      <c r="DX112" s="42"/>
      <c r="DY112" s="42"/>
      <c r="DZ112" s="42"/>
      <c r="EA112" s="42"/>
      <c r="EB112" s="42"/>
      <c r="EC112" s="42"/>
      <c r="ED112" s="42"/>
      <c r="EE112" s="42"/>
      <c r="EF112" s="42"/>
      <c r="EG112" s="42"/>
      <c r="EH112" s="42"/>
      <c r="EI112" s="42"/>
      <c r="EJ112" s="42"/>
      <c r="EK112" s="42"/>
      <c r="EL112" s="42"/>
      <c r="EM112" s="42"/>
      <c r="EN112" s="42"/>
      <c r="EO112" s="42"/>
      <c r="EP112" s="42"/>
      <c r="EQ112" s="42"/>
      <c r="ER112" s="42"/>
      <c r="ES112" s="42"/>
      <c r="ET112" s="42"/>
      <c r="EU112" s="42"/>
      <c r="EV112" s="42"/>
      <c r="EW112" s="42"/>
      <c r="EX112" s="42"/>
      <c r="EY112" s="42"/>
      <c r="EZ112" s="42"/>
      <c r="FA112" s="42"/>
    </row>
    <row r="113" spans="13:157">
      <c r="M113" s="177"/>
      <c r="Q113" s="32"/>
      <c r="AP113" s="386">
        <v>43514</v>
      </c>
      <c r="AQ113" s="338" t="s">
        <v>250</v>
      </c>
      <c r="AR113" s="570">
        <v>31</v>
      </c>
      <c r="AS113" s="42"/>
      <c r="AT113" s="42"/>
      <c r="AU113" s="42"/>
      <c r="AV113" s="42"/>
      <c r="AW113" s="42"/>
      <c r="AX113" s="314">
        <v>108</v>
      </c>
      <c r="AY113" s="166" t="s">
        <v>4</v>
      </c>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313" t="str">
        <f t="shared" si="50"/>
        <v>524</v>
      </c>
      <c r="CG113" s="356">
        <v>43282</v>
      </c>
      <c r="CH113" s="356">
        <v>43282</v>
      </c>
      <c r="CI113" s="370" t="s">
        <v>15</v>
      </c>
      <c r="CJ113" s="370"/>
      <c r="CK113" s="371">
        <v>2</v>
      </c>
      <c r="CL113" s="371">
        <v>4</v>
      </c>
      <c r="CM113" s="370">
        <v>5</v>
      </c>
      <c r="CN113" s="494">
        <f>'FPS Pivot Table'!D123</f>
        <v>49.85</v>
      </c>
      <c r="CO113" s="158"/>
      <c r="CP113" s="313" t="str">
        <f t="shared" si="51"/>
        <v>524</v>
      </c>
      <c r="CQ113" s="356">
        <v>43282</v>
      </c>
      <c r="CR113" s="356">
        <v>43282</v>
      </c>
      <c r="CS113" s="370" t="s">
        <v>15</v>
      </c>
      <c r="CT113" s="370"/>
      <c r="CU113" s="371">
        <v>2</v>
      </c>
      <c r="CV113" s="371">
        <v>4</v>
      </c>
      <c r="CW113" s="370">
        <v>5</v>
      </c>
      <c r="CX113" s="494">
        <f>'FPS Pivot Table'!E123</f>
        <v>51.85</v>
      </c>
      <c r="CY113" s="661">
        <f t="shared" si="52"/>
        <v>53.92</v>
      </c>
      <c r="CZ113" s="158"/>
      <c r="DA113" s="313" t="str">
        <f t="shared" si="48"/>
        <v>524</v>
      </c>
      <c r="DB113" s="356">
        <v>43282</v>
      </c>
      <c r="DC113" s="356">
        <v>43282</v>
      </c>
      <c r="DD113" s="371" t="s">
        <v>375</v>
      </c>
      <c r="DE113" s="377"/>
      <c r="DF113" s="377">
        <v>2</v>
      </c>
      <c r="DG113" s="377">
        <v>4</v>
      </c>
      <c r="DH113" s="377">
        <v>5</v>
      </c>
      <c r="DI113" s="494">
        <f>'FPS Pivot Table'!F123</f>
        <v>64.540000000000006</v>
      </c>
      <c r="DJ113" s="42"/>
      <c r="DK113" s="313" t="str">
        <f t="shared" si="54"/>
        <v>524</v>
      </c>
      <c r="DL113" s="356">
        <v>43282</v>
      </c>
      <c r="DM113" s="356">
        <v>43282</v>
      </c>
      <c r="DN113" s="371" t="s">
        <v>375</v>
      </c>
      <c r="DO113" s="377"/>
      <c r="DP113" s="377">
        <v>2</v>
      </c>
      <c r="DQ113" s="377">
        <v>4</v>
      </c>
      <c r="DR113" s="377">
        <v>5</v>
      </c>
      <c r="DS113" s="494">
        <f>'FPS Pivot Table'!G123</f>
        <v>67.12</v>
      </c>
      <c r="DT113" s="661">
        <f t="shared" si="53"/>
        <v>69.8</v>
      </c>
      <c r="DU113" s="42"/>
      <c r="DV113" s="42"/>
      <c r="DW113" s="42"/>
      <c r="DX113" s="42"/>
      <c r="DY113" s="42"/>
      <c r="DZ113" s="42"/>
      <c r="EA113" s="42"/>
      <c r="EB113" s="42"/>
      <c r="EC113" s="42"/>
      <c r="ED113" s="42"/>
      <c r="EE113" s="42"/>
      <c r="EF113" s="42"/>
      <c r="EG113" s="42"/>
      <c r="EH113" s="42"/>
      <c r="EI113" s="42"/>
      <c r="EJ113" s="42"/>
      <c r="EK113" s="42"/>
      <c r="EL113" s="42"/>
      <c r="EM113" s="42"/>
      <c r="EN113" s="42"/>
      <c r="EO113" s="42"/>
      <c r="EP113" s="42"/>
      <c r="EQ113" s="42"/>
      <c r="ER113" s="42"/>
      <c r="ES113" s="42"/>
      <c r="ET113" s="42"/>
      <c r="EU113" s="42"/>
      <c r="EV113" s="42"/>
      <c r="EW113" s="42"/>
      <c r="EX113" s="42"/>
      <c r="EY113" s="42"/>
      <c r="EZ113" s="42"/>
      <c r="FA113" s="42"/>
    </row>
    <row r="114" spans="13:157">
      <c r="M114" s="177"/>
      <c r="Q114" s="32"/>
      <c r="AP114" s="386">
        <v>43612</v>
      </c>
      <c r="AQ114" s="338" t="s">
        <v>253</v>
      </c>
      <c r="AR114" s="570">
        <v>29</v>
      </c>
      <c r="AS114" s="42"/>
      <c r="AT114" s="42"/>
      <c r="AU114" s="42"/>
      <c r="AV114" s="42"/>
      <c r="AW114" s="42"/>
      <c r="AX114" s="314">
        <v>109</v>
      </c>
      <c r="AY114" s="166" t="s">
        <v>4</v>
      </c>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313" t="str">
        <f t="shared" si="50"/>
        <v>525</v>
      </c>
      <c r="CG114" s="356">
        <v>43282</v>
      </c>
      <c r="CH114" s="356">
        <v>43282</v>
      </c>
      <c r="CI114" s="370" t="s">
        <v>15</v>
      </c>
      <c r="CJ114" s="370"/>
      <c r="CK114" s="371">
        <v>2</v>
      </c>
      <c r="CL114" s="371">
        <v>5</v>
      </c>
      <c r="CM114" s="370">
        <v>5</v>
      </c>
      <c r="CN114" s="494">
        <f>'FPS Pivot Table'!D124</f>
        <v>55.76</v>
      </c>
      <c r="CO114" s="158"/>
      <c r="CP114" s="313" t="str">
        <f t="shared" si="51"/>
        <v>525</v>
      </c>
      <c r="CQ114" s="356">
        <v>43282</v>
      </c>
      <c r="CR114" s="356">
        <v>43282</v>
      </c>
      <c r="CS114" s="370" t="s">
        <v>15</v>
      </c>
      <c r="CT114" s="370"/>
      <c r="CU114" s="371">
        <v>2</v>
      </c>
      <c r="CV114" s="371">
        <v>5</v>
      </c>
      <c r="CW114" s="370">
        <v>5</v>
      </c>
      <c r="CX114" s="494">
        <f>'FPS Pivot Table'!E124</f>
        <v>57.99</v>
      </c>
      <c r="CY114" s="661">
        <f t="shared" si="52"/>
        <v>60.31</v>
      </c>
      <c r="CZ114" s="158"/>
      <c r="DA114" s="313" t="str">
        <f t="shared" si="48"/>
        <v>525</v>
      </c>
      <c r="DB114" s="356">
        <v>43282</v>
      </c>
      <c r="DC114" s="356">
        <v>43282</v>
      </c>
      <c r="DD114" s="371" t="s">
        <v>375</v>
      </c>
      <c r="DE114" s="371"/>
      <c r="DF114" s="371">
        <v>2</v>
      </c>
      <c r="DG114" s="371">
        <v>5</v>
      </c>
      <c r="DH114" s="371">
        <v>5</v>
      </c>
      <c r="DI114" s="494">
        <f>'FPS Pivot Table'!F124</f>
        <v>69.7</v>
      </c>
      <c r="DJ114" s="42"/>
      <c r="DK114" s="313" t="str">
        <f t="shared" si="54"/>
        <v>525</v>
      </c>
      <c r="DL114" s="356">
        <v>43282</v>
      </c>
      <c r="DM114" s="356">
        <v>43282</v>
      </c>
      <c r="DN114" s="371" t="s">
        <v>375</v>
      </c>
      <c r="DO114" s="371"/>
      <c r="DP114" s="371">
        <v>2</v>
      </c>
      <c r="DQ114" s="371">
        <v>5</v>
      </c>
      <c r="DR114" s="371">
        <v>5</v>
      </c>
      <c r="DS114" s="494">
        <f>'FPS Pivot Table'!G124</f>
        <v>72.489999999999995</v>
      </c>
      <c r="DT114" s="661">
        <f t="shared" si="53"/>
        <v>75.39</v>
      </c>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row>
    <row r="115" spans="13:157">
      <c r="M115" s="177"/>
      <c r="Q115" s="32"/>
      <c r="AP115" s="386">
        <v>43650</v>
      </c>
      <c r="AQ115" s="338" t="s">
        <v>274</v>
      </c>
      <c r="AR115" s="570">
        <v>31</v>
      </c>
      <c r="AS115" s="42"/>
      <c r="AT115" s="42"/>
      <c r="AU115" s="42"/>
      <c r="AV115" s="42"/>
      <c r="AW115" s="42"/>
      <c r="AX115" s="314">
        <v>110</v>
      </c>
      <c r="AY115" s="166" t="s">
        <v>4</v>
      </c>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313" t="str">
        <f t="shared" si="50"/>
        <v>531</v>
      </c>
      <c r="CG115" s="356">
        <v>43282</v>
      </c>
      <c r="CH115" s="356">
        <v>43282</v>
      </c>
      <c r="CI115" s="370" t="s">
        <v>15</v>
      </c>
      <c r="CJ115" s="370"/>
      <c r="CK115" s="371">
        <v>3</v>
      </c>
      <c r="CL115" s="371">
        <v>1</v>
      </c>
      <c r="CM115" s="370">
        <v>5</v>
      </c>
      <c r="CN115" s="494">
        <f>'FPS Pivot Table'!D125</f>
        <v>46.32</v>
      </c>
      <c r="CO115" s="158"/>
      <c r="CP115" s="313" t="str">
        <f t="shared" si="51"/>
        <v>531</v>
      </c>
      <c r="CQ115" s="356">
        <v>43282</v>
      </c>
      <c r="CR115" s="356">
        <v>43282</v>
      </c>
      <c r="CS115" s="370" t="s">
        <v>15</v>
      </c>
      <c r="CT115" s="370"/>
      <c r="CU115" s="371">
        <v>3</v>
      </c>
      <c r="CV115" s="371">
        <v>1</v>
      </c>
      <c r="CW115" s="370">
        <v>5</v>
      </c>
      <c r="CX115" s="494">
        <f>'FPS Pivot Table'!E125</f>
        <v>48.17</v>
      </c>
      <c r="CY115" s="661">
        <f t="shared" si="52"/>
        <v>50.1</v>
      </c>
      <c r="CZ115" s="158"/>
      <c r="DA115" s="313" t="str">
        <f t="shared" si="48"/>
        <v>531</v>
      </c>
      <c r="DB115" s="356">
        <v>43282</v>
      </c>
      <c r="DC115" s="356">
        <v>43282</v>
      </c>
      <c r="DD115" s="371" t="s">
        <v>375</v>
      </c>
      <c r="DE115" s="371"/>
      <c r="DF115" s="371">
        <v>3</v>
      </c>
      <c r="DG115" s="371">
        <v>1</v>
      </c>
      <c r="DH115" s="371">
        <v>5</v>
      </c>
      <c r="DI115" s="494">
        <f>'FPS Pivot Table'!F125</f>
        <v>87.94</v>
      </c>
      <c r="DJ115" s="42"/>
      <c r="DK115" s="313" t="str">
        <f t="shared" si="54"/>
        <v>531</v>
      </c>
      <c r="DL115" s="356">
        <v>43282</v>
      </c>
      <c r="DM115" s="356">
        <v>43282</v>
      </c>
      <c r="DN115" s="371" t="s">
        <v>375</v>
      </c>
      <c r="DO115" s="371"/>
      <c r="DP115" s="371">
        <v>3</v>
      </c>
      <c r="DQ115" s="371">
        <v>1</v>
      </c>
      <c r="DR115" s="371">
        <v>5</v>
      </c>
      <c r="DS115" s="494">
        <f>'FPS Pivot Table'!G125</f>
        <v>91.46</v>
      </c>
      <c r="DT115" s="661">
        <f t="shared" si="53"/>
        <v>95.12</v>
      </c>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row>
    <row r="116" spans="13:157">
      <c r="M116" s="177"/>
      <c r="Q116" s="32"/>
      <c r="AP116" s="386">
        <v>43710</v>
      </c>
      <c r="AQ116" s="338" t="s">
        <v>275</v>
      </c>
      <c r="AR116" s="570">
        <v>30</v>
      </c>
      <c r="AS116" s="42"/>
      <c r="AT116" s="42"/>
      <c r="AU116" s="42"/>
      <c r="AV116" s="42"/>
      <c r="AW116" s="42"/>
      <c r="AX116" s="314">
        <v>111</v>
      </c>
      <c r="AY116" s="166" t="s">
        <v>4</v>
      </c>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313" t="str">
        <f t="shared" si="50"/>
        <v>532</v>
      </c>
      <c r="CG116" s="356">
        <v>43282</v>
      </c>
      <c r="CH116" s="356">
        <v>43282</v>
      </c>
      <c r="CI116" s="370" t="s">
        <v>15</v>
      </c>
      <c r="CJ116" s="370"/>
      <c r="CK116" s="371">
        <v>3</v>
      </c>
      <c r="CL116" s="371">
        <v>2</v>
      </c>
      <c r="CM116" s="370">
        <v>5</v>
      </c>
      <c r="CN116" s="494">
        <f>'FPS Pivot Table'!D126</f>
        <v>49.4</v>
      </c>
      <c r="CO116" s="158"/>
      <c r="CP116" s="313" t="str">
        <f t="shared" si="51"/>
        <v>532</v>
      </c>
      <c r="CQ116" s="356">
        <v>43282</v>
      </c>
      <c r="CR116" s="356">
        <v>43282</v>
      </c>
      <c r="CS116" s="370" t="s">
        <v>15</v>
      </c>
      <c r="CT116" s="370"/>
      <c r="CU116" s="371">
        <v>3</v>
      </c>
      <c r="CV116" s="371">
        <v>2</v>
      </c>
      <c r="CW116" s="370">
        <v>5</v>
      </c>
      <c r="CX116" s="494">
        <f>'FPS Pivot Table'!E126</f>
        <v>51.38</v>
      </c>
      <c r="CY116" s="661">
        <f t="shared" si="52"/>
        <v>53.44</v>
      </c>
      <c r="CZ116" s="158"/>
      <c r="DA116" s="313" t="str">
        <f t="shared" si="48"/>
        <v>532</v>
      </c>
      <c r="DB116" s="356">
        <v>43282</v>
      </c>
      <c r="DC116" s="356">
        <v>43282</v>
      </c>
      <c r="DD116" s="371" t="s">
        <v>375</v>
      </c>
      <c r="DE116" s="371"/>
      <c r="DF116" s="371">
        <v>3</v>
      </c>
      <c r="DG116" s="371">
        <v>2</v>
      </c>
      <c r="DH116" s="371">
        <v>5</v>
      </c>
      <c r="DI116" s="494">
        <f>'FPS Pivot Table'!F126</f>
        <v>90.68</v>
      </c>
      <c r="DJ116" s="42"/>
      <c r="DK116" s="313" t="str">
        <f t="shared" si="54"/>
        <v>532</v>
      </c>
      <c r="DL116" s="356">
        <v>43282</v>
      </c>
      <c r="DM116" s="356">
        <v>43282</v>
      </c>
      <c r="DN116" s="371" t="s">
        <v>375</v>
      </c>
      <c r="DO116" s="371"/>
      <c r="DP116" s="371">
        <v>3</v>
      </c>
      <c r="DQ116" s="371">
        <v>2</v>
      </c>
      <c r="DR116" s="371">
        <v>5</v>
      </c>
      <c r="DS116" s="494">
        <f>'FPS Pivot Table'!G126</f>
        <v>94.3</v>
      </c>
      <c r="DT116" s="661">
        <f t="shared" si="53"/>
        <v>98.07</v>
      </c>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row>
    <row r="117" spans="13:157">
      <c r="M117" s="177"/>
      <c r="Q117" s="32"/>
      <c r="AP117" s="386">
        <v>43752</v>
      </c>
      <c r="AQ117" s="338" t="s">
        <v>276</v>
      </c>
      <c r="AR117" s="570">
        <v>31</v>
      </c>
      <c r="AS117" s="42"/>
      <c r="AT117" s="42"/>
      <c r="AU117" s="42"/>
      <c r="AV117" s="42"/>
      <c r="AW117" s="42"/>
      <c r="AX117" s="314">
        <v>112</v>
      </c>
      <c r="AY117" s="166" t="s">
        <v>4</v>
      </c>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313" t="str">
        <f t="shared" si="50"/>
        <v>533</v>
      </c>
      <c r="CG117" s="356">
        <v>43282</v>
      </c>
      <c r="CH117" s="356">
        <v>43282</v>
      </c>
      <c r="CI117" s="370" t="s">
        <v>15</v>
      </c>
      <c r="CJ117" s="370"/>
      <c r="CK117" s="371">
        <v>3</v>
      </c>
      <c r="CL117" s="371">
        <v>3</v>
      </c>
      <c r="CM117" s="370">
        <v>5</v>
      </c>
      <c r="CN117" s="494">
        <f>'FPS Pivot Table'!D127</f>
        <v>54.37</v>
      </c>
      <c r="CO117" s="158"/>
      <c r="CP117" s="313" t="str">
        <f t="shared" si="51"/>
        <v>533</v>
      </c>
      <c r="CQ117" s="356">
        <v>43282</v>
      </c>
      <c r="CR117" s="356">
        <v>43282</v>
      </c>
      <c r="CS117" s="370" t="s">
        <v>15</v>
      </c>
      <c r="CT117" s="370"/>
      <c r="CU117" s="371">
        <v>3</v>
      </c>
      <c r="CV117" s="371">
        <v>3</v>
      </c>
      <c r="CW117" s="370">
        <v>5</v>
      </c>
      <c r="CX117" s="494">
        <f>'FPS Pivot Table'!E127</f>
        <v>56.55</v>
      </c>
      <c r="CY117" s="661">
        <f t="shared" si="52"/>
        <v>58.81</v>
      </c>
      <c r="CZ117" s="158"/>
      <c r="DA117" s="313" t="str">
        <f t="shared" si="48"/>
        <v>533</v>
      </c>
      <c r="DB117" s="356">
        <v>43282</v>
      </c>
      <c r="DC117" s="356">
        <v>43282</v>
      </c>
      <c r="DD117" s="371" t="s">
        <v>375</v>
      </c>
      <c r="DE117" s="371"/>
      <c r="DF117" s="371">
        <v>3</v>
      </c>
      <c r="DG117" s="371">
        <v>3</v>
      </c>
      <c r="DH117" s="371">
        <v>5</v>
      </c>
      <c r="DI117" s="494">
        <f>'FPS Pivot Table'!F127</f>
        <v>94.98</v>
      </c>
      <c r="DJ117" s="42"/>
      <c r="DK117" s="313" t="str">
        <f t="shared" si="54"/>
        <v>533</v>
      </c>
      <c r="DL117" s="356">
        <v>43282</v>
      </c>
      <c r="DM117" s="356">
        <v>43282</v>
      </c>
      <c r="DN117" s="371" t="s">
        <v>375</v>
      </c>
      <c r="DO117" s="371"/>
      <c r="DP117" s="371">
        <v>3</v>
      </c>
      <c r="DQ117" s="371">
        <v>3</v>
      </c>
      <c r="DR117" s="371">
        <v>5</v>
      </c>
      <c r="DS117" s="494">
        <f>'FPS Pivot Table'!G127</f>
        <v>98.78</v>
      </c>
      <c r="DT117" s="661">
        <f t="shared" si="53"/>
        <v>102.73</v>
      </c>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row>
    <row r="118" spans="13:157">
      <c r="M118" s="177"/>
      <c r="Q118" s="32"/>
      <c r="AP118" s="386">
        <v>43780</v>
      </c>
      <c r="AQ118" s="338" t="s">
        <v>277</v>
      </c>
      <c r="AR118" s="570">
        <v>30</v>
      </c>
      <c r="AS118" s="42"/>
      <c r="AT118" s="42"/>
      <c r="AU118" s="42"/>
      <c r="AV118" s="42"/>
      <c r="AW118" s="42"/>
      <c r="AX118" s="314">
        <v>113</v>
      </c>
      <c r="AY118" s="166" t="s">
        <v>4</v>
      </c>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313" t="str">
        <f t="shared" si="50"/>
        <v>534</v>
      </c>
      <c r="CG118" s="356">
        <v>43282</v>
      </c>
      <c r="CH118" s="356">
        <v>43282</v>
      </c>
      <c r="CI118" s="370" t="s">
        <v>15</v>
      </c>
      <c r="CJ118" s="370"/>
      <c r="CK118" s="371">
        <v>3</v>
      </c>
      <c r="CL118" s="371">
        <v>4</v>
      </c>
      <c r="CM118" s="370">
        <v>5</v>
      </c>
      <c r="CN118" s="494">
        <f>'FPS Pivot Table'!D128</f>
        <v>61.03</v>
      </c>
      <c r="CO118" s="158"/>
      <c r="CP118" s="313" t="str">
        <f t="shared" si="51"/>
        <v>534</v>
      </c>
      <c r="CQ118" s="356">
        <v>43282</v>
      </c>
      <c r="CR118" s="356">
        <v>43282</v>
      </c>
      <c r="CS118" s="370" t="s">
        <v>15</v>
      </c>
      <c r="CT118" s="370"/>
      <c r="CU118" s="371">
        <v>3</v>
      </c>
      <c r="CV118" s="371">
        <v>4</v>
      </c>
      <c r="CW118" s="370">
        <v>5</v>
      </c>
      <c r="CX118" s="494">
        <f>'FPS Pivot Table'!E128</f>
        <v>63.48</v>
      </c>
      <c r="CY118" s="661">
        <f t="shared" si="52"/>
        <v>66.02</v>
      </c>
      <c r="CZ118" s="158"/>
      <c r="DA118" s="313" t="str">
        <f t="shared" si="48"/>
        <v>534</v>
      </c>
      <c r="DB118" s="356">
        <v>43282</v>
      </c>
      <c r="DC118" s="356">
        <v>43282</v>
      </c>
      <c r="DD118" s="371" t="s">
        <v>375</v>
      </c>
      <c r="DE118" s="371"/>
      <c r="DF118" s="371">
        <v>3</v>
      </c>
      <c r="DG118" s="371">
        <v>4</v>
      </c>
      <c r="DH118" s="371">
        <v>5</v>
      </c>
      <c r="DI118" s="494">
        <f>'FPS Pivot Table'!F128</f>
        <v>100.86</v>
      </c>
      <c r="DJ118" s="42"/>
      <c r="DK118" s="313" t="str">
        <f t="shared" si="54"/>
        <v>534</v>
      </c>
      <c r="DL118" s="356">
        <v>43282</v>
      </c>
      <c r="DM118" s="356">
        <v>43282</v>
      </c>
      <c r="DN118" s="371" t="s">
        <v>375</v>
      </c>
      <c r="DO118" s="371"/>
      <c r="DP118" s="371">
        <v>3</v>
      </c>
      <c r="DQ118" s="371">
        <v>4</v>
      </c>
      <c r="DR118" s="371">
        <v>5</v>
      </c>
      <c r="DS118" s="494">
        <f>'FPS Pivot Table'!G128</f>
        <v>104.9</v>
      </c>
      <c r="DT118" s="661">
        <f t="shared" si="53"/>
        <v>109.1</v>
      </c>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row>
    <row r="119" spans="13:157">
      <c r="M119" s="177"/>
      <c r="Q119" s="32"/>
      <c r="AP119" s="386">
        <v>43797</v>
      </c>
      <c r="AQ119" s="338" t="s">
        <v>278</v>
      </c>
      <c r="AR119" s="570">
        <v>31</v>
      </c>
      <c r="AS119" s="42"/>
      <c r="AT119" s="42"/>
      <c r="AU119" s="42"/>
      <c r="AV119" s="42"/>
      <c r="AW119" s="42"/>
      <c r="AX119" s="314">
        <v>114</v>
      </c>
      <c r="AY119" s="166" t="s">
        <v>4</v>
      </c>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313" t="str">
        <f t="shared" si="50"/>
        <v>535</v>
      </c>
      <c r="CG119" s="356">
        <v>43282</v>
      </c>
      <c r="CH119" s="356">
        <v>43282</v>
      </c>
      <c r="CI119" s="370" t="s">
        <v>15</v>
      </c>
      <c r="CJ119" s="370"/>
      <c r="CK119" s="371">
        <v>3</v>
      </c>
      <c r="CL119" s="371">
        <v>5</v>
      </c>
      <c r="CM119" s="370">
        <v>5</v>
      </c>
      <c r="CN119" s="494">
        <f>'FPS Pivot Table'!D129</f>
        <v>66.930000000000007</v>
      </c>
      <c r="CO119" s="158"/>
      <c r="CP119" s="313" t="str">
        <f t="shared" si="51"/>
        <v>535</v>
      </c>
      <c r="CQ119" s="356">
        <v>43282</v>
      </c>
      <c r="CR119" s="356">
        <v>43282</v>
      </c>
      <c r="CS119" s="370" t="s">
        <v>15</v>
      </c>
      <c r="CT119" s="370"/>
      <c r="CU119" s="371">
        <v>3</v>
      </c>
      <c r="CV119" s="371">
        <v>5</v>
      </c>
      <c r="CW119" s="370">
        <v>5</v>
      </c>
      <c r="CX119" s="494">
        <f>'FPS Pivot Table'!E129</f>
        <v>69.61</v>
      </c>
      <c r="CY119" s="661">
        <f t="shared" si="52"/>
        <v>72.39</v>
      </c>
      <c r="CZ119" s="158"/>
      <c r="DA119" s="313" t="str">
        <f t="shared" si="48"/>
        <v>535</v>
      </c>
      <c r="DB119" s="356">
        <v>43282</v>
      </c>
      <c r="DC119" s="356">
        <v>43282</v>
      </c>
      <c r="DD119" s="371" t="s">
        <v>375</v>
      </c>
      <c r="DE119" s="371"/>
      <c r="DF119" s="371">
        <v>3</v>
      </c>
      <c r="DG119" s="371">
        <v>5</v>
      </c>
      <c r="DH119" s="371">
        <v>5</v>
      </c>
      <c r="DI119" s="494">
        <f>'FPS Pivot Table'!F129</f>
        <v>106.08</v>
      </c>
      <c r="DJ119" s="42"/>
      <c r="DK119" s="313" t="str">
        <f t="shared" si="54"/>
        <v>535</v>
      </c>
      <c r="DL119" s="356">
        <v>43282</v>
      </c>
      <c r="DM119" s="356">
        <v>43282</v>
      </c>
      <c r="DN119" s="371" t="s">
        <v>375</v>
      </c>
      <c r="DO119" s="371"/>
      <c r="DP119" s="371">
        <v>3</v>
      </c>
      <c r="DQ119" s="371">
        <v>5</v>
      </c>
      <c r="DR119" s="371">
        <v>5</v>
      </c>
      <c r="DS119" s="494">
        <f>'FPS Pivot Table'!G129</f>
        <v>110.32</v>
      </c>
      <c r="DT119" s="661">
        <f t="shared" si="53"/>
        <v>114.73</v>
      </c>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row>
    <row r="120" spans="13:157">
      <c r="M120" s="177"/>
      <c r="Q120" s="32"/>
      <c r="AP120" s="386">
        <v>43824</v>
      </c>
      <c r="AQ120" s="338" t="s">
        <v>279</v>
      </c>
      <c r="AR120" s="570">
        <v>31</v>
      </c>
      <c r="AS120" s="42"/>
      <c r="AT120" s="42"/>
      <c r="AU120" s="42"/>
      <c r="AV120" s="42"/>
      <c r="AW120" s="42"/>
      <c r="AX120" s="314">
        <v>115</v>
      </c>
      <c r="AY120" s="166" t="s">
        <v>4</v>
      </c>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313" t="str">
        <f t="shared" si="50"/>
        <v>541</v>
      </c>
      <c r="CG120" s="356">
        <v>43282</v>
      </c>
      <c r="CH120" s="356">
        <v>43282</v>
      </c>
      <c r="CI120" s="370" t="s">
        <v>15</v>
      </c>
      <c r="CJ120" s="370"/>
      <c r="CK120" s="371">
        <v>4</v>
      </c>
      <c r="CL120" s="371">
        <v>1</v>
      </c>
      <c r="CM120" s="370">
        <v>5</v>
      </c>
      <c r="CN120" s="494">
        <f>'FPS Pivot Table'!D130</f>
        <v>57.79</v>
      </c>
      <c r="CO120" s="158"/>
      <c r="CP120" s="313" t="str">
        <f t="shared" si="51"/>
        <v>541</v>
      </c>
      <c r="CQ120" s="356">
        <v>43282</v>
      </c>
      <c r="CR120" s="356">
        <v>43282</v>
      </c>
      <c r="CS120" s="370" t="s">
        <v>15</v>
      </c>
      <c r="CT120" s="370"/>
      <c r="CU120" s="371">
        <v>4</v>
      </c>
      <c r="CV120" s="371">
        <v>1</v>
      </c>
      <c r="CW120" s="370">
        <v>5</v>
      </c>
      <c r="CX120" s="494">
        <f>'FPS Pivot Table'!E130</f>
        <v>60.1</v>
      </c>
      <c r="CY120" s="661">
        <f t="shared" si="52"/>
        <v>62.5</v>
      </c>
      <c r="CZ120" s="158"/>
      <c r="DA120" s="313" t="str">
        <f t="shared" si="48"/>
        <v>541</v>
      </c>
      <c r="DB120" s="356">
        <v>43282</v>
      </c>
      <c r="DC120" s="356">
        <v>43282</v>
      </c>
      <c r="DD120" s="371" t="s">
        <v>375</v>
      </c>
      <c r="DE120" s="371"/>
      <c r="DF120" s="371">
        <v>4</v>
      </c>
      <c r="DG120" s="371">
        <v>1</v>
      </c>
      <c r="DH120" s="371">
        <v>5</v>
      </c>
      <c r="DI120" s="494">
        <f>'FPS Pivot Table'!F130</f>
        <v>142.46</v>
      </c>
      <c r="DJ120" s="42"/>
      <c r="DK120" s="313" t="str">
        <f t="shared" si="54"/>
        <v>541</v>
      </c>
      <c r="DL120" s="356">
        <v>43282</v>
      </c>
      <c r="DM120" s="356">
        <v>43282</v>
      </c>
      <c r="DN120" s="371" t="s">
        <v>375</v>
      </c>
      <c r="DO120" s="371"/>
      <c r="DP120" s="371">
        <v>4</v>
      </c>
      <c r="DQ120" s="371">
        <v>1</v>
      </c>
      <c r="DR120" s="371">
        <v>5</v>
      </c>
      <c r="DS120" s="494">
        <f>'FPS Pivot Table'!G130</f>
        <v>148.16</v>
      </c>
      <c r="DT120" s="661">
        <f t="shared" si="53"/>
        <v>154.09</v>
      </c>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row>
    <row r="121" spans="13:157">
      <c r="M121" s="177"/>
      <c r="Q121" s="32"/>
      <c r="AP121" s="386"/>
      <c r="AQ121" s="338" t="s">
        <v>280</v>
      </c>
      <c r="AR121" s="570">
        <v>30</v>
      </c>
      <c r="AS121" s="42"/>
      <c r="AT121" s="42"/>
      <c r="AU121" s="42"/>
      <c r="AV121" s="42"/>
      <c r="AW121" s="42"/>
      <c r="AX121" s="314">
        <v>116</v>
      </c>
      <c r="AY121" s="166" t="s">
        <v>4</v>
      </c>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313" t="str">
        <f t="shared" si="50"/>
        <v>542</v>
      </c>
      <c r="CG121" s="356">
        <v>43282</v>
      </c>
      <c r="CH121" s="356">
        <v>43282</v>
      </c>
      <c r="CI121" s="370" t="s">
        <v>15</v>
      </c>
      <c r="CJ121" s="370"/>
      <c r="CK121" s="371">
        <v>4</v>
      </c>
      <c r="CL121" s="371">
        <v>2</v>
      </c>
      <c r="CM121" s="370">
        <v>5</v>
      </c>
      <c r="CN121" s="494">
        <f>'FPS Pivot Table'!D131</f>
        <v>60.87</v>
      </c>
      <c r="CO121" s="158"/>
      <c r="CP121" s="313" t="str">
        <f t="shared" si="51"/>
        <v>542</v>
      </c>
      <c r="CQ121" s="356">
        <v>43282</v>
      </c>
      <c r="CR121" s="356">
        <v>43282</v>
      </c>
      <c r="CS121" s="370" t="s">
        <v>15</v>
      </c>
      <c r="CT121" s="370"/>
      <c r="CU121" s="371">
        <v>4</v>
      </c>
      <c r="CV121" s="371">
        <v>2</v>
      </c>
      <c r="CW121" s="370">
        <v>5</v>
      </c>
      <c r="CX121" s="494">
        <f>'FPS Pivot Table'!E131</f>
        <v>63.31</v>
      </c>
      <c r="CY121" s="661">
        <f t="shared" si="52"/>
        <v>65.84</v>
      </c>
      <c r="CZ121" s="158"/>
      <c r="DA121" s="313" t="str">
        <f t="shared" si="48"/>
        <v>542</v>
      </c>
      <c r="DB121" s="356">
        <v>43282</v>
      </c>
      <c r="DC121" s="356">
        <v>43282</v>
      </c>
      <c r="DD121" s="371" t="s">
        <v>375</v>
      </c>
      <c r="DE121" s="371"/>
      <c r="DF121" s="371">
        <v>4</v>
      </c>
      <c r="DG121" s="371">
        <v>2</v>
      </c>
      <c r="DH121" s="371">
        <v>5</v>
      </c>
      <c r="DI121" s="494">
        <f>'FPS Pivot Table'!F131</f>
        <v>145.16999999999999</v>
      </c>
      <c r="DJ121" s="42"/>
      <c r="DK121" s="313" t="str">
        <f t="shared" si="54"/>
        <v>542</v>
      </c>
      <c r="DL121" s="356">
        <v>43282</v>
      </c>
      <c r="DM121" s="356">
        <v>43282</v>
      </c>
      <c r="DN121" s="371" t="s">
        <v>375</v>
      </c>
      <c r="DO121" s="371"/>
      <c r="DP121" s="371">
        <v>4</v>
      </c>
      <c r="DQ121" s="371">
        <v>2</v>
      </c>
      <c r="DR121" s="371">
        <v>5</v>
      </c>
      <c r="DS121" s="494">
        <f>'FPS Pivot Table'!G131</f>
        <v>150.97</v>
      </c>
      <c r="DT121" s="661">
        <f t="shared" si="53"/>
        <v>157.01</v>
      </c>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row>
    <row r="122" spans="13:157">
      <c r="M122" s="177"/>
      <c r="Q122" s="32"/>
      <c r="AP122" s="386"/>
      <c r="AQ122" s="338" t="s">
        <v>281</v>
      </c>
      <c r="AR122" s="570">
        <v>31</v>
      </c>
      <c r="AS122" s="42"/>
      <c r="AT122" s="42"/>
      <c r="AU122" s="42"/>
      <c r="AV122" s="42"/>
      <c r="AW122" s="42"/>
      <c r="AX122" s="314">
        <v>117</v>
      </c>
      <c r="AY122" s="166" t="s">
        <v>4</v>
      </c>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313" t="str">
        <f t="shared" si="50"/>
        <v>543</v>
      </c>
      <c r="CG122" s="356">
        <v>43282</v>
      </c>
      <c r="CH122" s="356">
        <v>43282</v>
      </c>
      <c r="CI122" s="370" t="s">
        <v>15</v>
      </c>
      <c r="CJ122" s="370"/>
      <c r="CK122" s="371">
        <v>4</v>
      </c>
      <c r="CL122" s="371">
        <v>3</v>
      </c>
      <c r="CM122" s="370">
        <v>5</v>
      </c>
      <c r="CN122" s="494">
        <f>'FPS Pivot Table'!D132</f>
        <v>65.84</v>
      </c>
      <c r="CO122" s="158"/>
      <c r="CP122" s="313" t="str">
        <f t="shared" si="51"/>
        <v>543</v>
      </c>
      <c r="CQ122" s="356">
        <v>43282</v>
      </c>
      <c r="CR122" s="356">
        <v>43282</v>
      </c>
      <c r="CS122" s="370" t="s">
        <v>15</v>
      </c>
      <c r="CT122" s="370"/>
      <c r="CU122" s="371">
        <v>4</v>
      </c>
      <c r="CV122" s="371">
        <v>3</v>
      </c>
      <c r="CW122" s="370">
        <v>5</v>
      </c>
      <c r="CX122" s="494">
        <f>'FPS Pivot Table'!E132</f>
        <v>68.47</v>
      </c>
      <c r="CY122" s="661">
        <f t="shared" si="52"/>
        <v>71.209999999999994</v>
      </c>
      <c r="CZ122" s="158"/>
      <c r="DA122" s="313" t="str">
        <f t="shared" si="48"/>
        <v>543</v>
      </c>
      <c r="DB122" s="356">
        <v>43282</v>
      </c>
      <c r="DC122" s="356">
        <v>43282</v>
      </c>
      <c r="DD122" s="371" t="s">
        <v>375</v>
      </c>
      <c r="DE122" s="371"/>
      <c r="DF122" s="371">
        <v>4</v>
      </c>
      <c r="DG122" s="371">
        <v>3</v>
      </c>
      <c r="DH122" s="371">
        <v>5</v>
      </c>
      <c r="DI122" s="494">
        <f>'FPS Pivot Table'!F132</f>
        <v>149.53</v>
      </c>
      <c r="DJ122" s="42"/>
      <c r="DK122" s="313" t="str">
        <f t="shared" si="54"/>
        <v>543</v>
      </c>
      <c r="DL122" s="356">
        <v>43282</v>
      </c>
      <c r="DM122" s="356">
        <v>43282</v>
      </c>
      <c r="DN122" s="371" t="s">
        <v>375</v>
      </c>
      <c r="DO122" s="371"/>
      <c r="DP122" s="371">
        <v>4</v>
      </c>
      <c r="DQ122" s="371">
        <v>3</v>
      </c>
      <c r="DR122" s="371">
        <v>5</v>
      </c>
      <c r="DS122" s="494">
        <f>'FPS Pivot Table'!G132</f>
        <v>155.51</v>
      </c>
      <c r="DT122" s="661">
        <f t="shared" si="53"/>
        <v>161.72999999999999</v>
      </c>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row>
    <row r="123" spans="13:157">
      <c r="M123" s="177"/>
      <c r="Q123" s="32"/>
      <c r="AP123" s="386"/>
      <c r="AQ123" s="338" t="s">
        <v>282</v>
      </c>
      <c r="AR123" s="570">
        <v>30</v>
      </c>
      <c r="AS123" s="42"/>
      <c r="AT123" s="42"/>
      <c r="AU123" s="42"/>
      <c r="AV123" s="42"/>
      <c r="AW123" s="42"/>
      <c r="AX123" s="314">
        <v>118</v>
      </c>
      <c r="AY123" s="166" t="s">
        <v>4</v>
      </c>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313" t="str">
        <f t="shared" si="50"/>
        <v>544</v>
      </c>
      <c r="CG123" s="356">
        <v>43282</v>
      </c>
      <c r="CH123" s="356">
        <v>43282</v>
      </c>
      <c r="CI123" s="370" t="s">
        <v>15</v>
      </c>
      <c r="CJ123" s="370"/>
      <c r="CK123" s="371">
        <v>4</v>
      </c>
      <c r="CL123" s="371">
        <v>4</v>
      </c>
      <c r="CM123" s="370">
        <v>5</v>
      </c>
      <c r="CN123" s="494">
        <f>'FPS Pivot Table'!D133</f>
        <v>72.540000000000006</v>
      </c>
      <c r="CO123" s="158"/>
      <c r="CP123" s="313" t="str">
        <f t="shared" si="51"/>
        <v>544</v>
      </c>
      <c r="CQ123" s="356">
        <v>43282</v>
      </c>
      <c r="CR123" s="356">
        <v>43282</v>
      </c>
      <c r="CS123" s="370" t="s">
        <v>15</v>
      </c>
      <c r="CT123" s="370"/>
      <c r="CU123" s="371">
        <v>4</v>
      </c>
      <c r="CV123" s="371">
        <v>4</v>
      </c>
      <c r="CW123" s="370">
        <v>5</v>
      </c>
      <c r="CX123" s="494">
        <f>'FPS Pivot Table'!E133</f>
        <v>75.44</v>
      </c>
      <c r="CY123" s="661">
        <f t="shared" si="52"/>
        <v>78.459999999999994</v>
      </c>
      <c r="CZ123" s="158"/>
      <c r="DA123" s="313" t="str">
        <f t="shared" si="48"/>
        <v>544</v>
      </c>
      <c r="DB123" s="356">
        <v>43282</v>
      </c>
      <c r="DC123" s="356">
        <v>43282</v>
      </c>
      <c r="DD123" s="371" t="s">
        <v>375</v>
      </c>
      <c r="DE123" s="371"/>
      <c r="DF123" s="371">
        <v>4</v>
      </c>
      <c r="DG123" s="371">
        <v>4</v>
      </c>
      <c r="DH123" s="371">
        <v>5</v>
      </c>
      <c r="DI123" s="494">
        <f>'FPS Pivot Table'!F133</f>
        <v>155.41999999999999</v>
      </c>
      <c r="DJ123" s="42"/>
      <c r="DK123" s="313" t="str">
        <f t="shared" si="54"/>
        <v>544</v>
      </c>
      <c r="DL123" s="356">
        <v>43282</v>
      </c>
      <c r="DM123" s="356">
        <v>43282</v>
      </c>
      <c r="DN123" s="371" t="s">
        <v>375</v>
      </c>
      <c r="DO123" s="371"/>
      <c r="DP123" s="371">
        <v>4</v>
      </c>
      <c r="DQ123" s="371">
        <v>4</v>
      </c>
      <c r="DR123" s="371">
        <v>5</v>
      </c>
      <c r="DS123" s="494">
        <f>'FPS Pivot Table'!G133</f>
        <v>161.63999999999999</v>
      </c>
      <c r="DT123" s="661">
        <f t="shared" si="53"/>
        <v>168.11</v>
      </c>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row>
    <row r="124" spans="13:157">
      <c r="M124" s="177"/>
      <c r="Q124" s="32"/>
      <c r="AP124" s="386"/>
      <c r="AQ124" s="338" t="s">
        <v>283</v>
      </c>
      <c r="AR124" s="570">
        <v>31</v>
      </c>
      <c r="AS124" s="42"/>
      <c r="AT124" s="42"/>
      <c r="AU124" s="42"/>
      <c r="AV124" s="42"/>
      <c r="AW124" s="42"/>
      <c r="AX124" s="314">
        <v>119</v>
      </c>
      <c r="AY124" s="166" t="s">
        <v>4</v>
      </c>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313" t="str">
        <f t="shared" si="50"/>
        <v>545</v>
      </c>
      <c r="CG124" s="356">
        <v>43282</v>
      </c>
      <c r="CH124" s="356">
        <v>43282</v>
      </c>
      <c r="CI124" s="370" t="s">
        <v>15</v>
      </c>
      <c r="CJ124" s="370"/>
      <c r="CK124" s="371">
        <v>4</v>
      </c>
      <c r="CL124" s="371">
        <v>5</v>
      </c>
      <c r="CM124" s="370">
        <v>5</v>
      </c>
      <c r="CN124" s="494">
        <f>'FPS Pivot Table'!D134</f>
        <v>78.41</v>
      </c>
      <c r="CO124" s="158"/>
      <c r="CP124" s="313" t="str">
        <f t="shared" si="51"/>
        <v>545</v>
      </c>
      <c r="CQ124" s="356">
        <v>43282</v>
      </c>
      <c r="CR124" s="356">
        <v>43282</v>
      </c>
      <c r="CS124" s="370" t="s">
        <v>15</v>
      </c>
      <c r="CT124" s="370"/>
      <c r="CU124" s="371">
        <v>4</v>
      </c>
      <c r="CV124" s="371">
        <v>5</v>
      </c>
      <c r="CW124" s="370">
        <v>5</v>
      </c>
      <c r="CX124" s="494">
        <f>'FPS Pivot Table'!E134</f>
        <v>81.55</v>
      </c>
      <c r="CY124" s="661">
        <f t="shared" si="52"/>
        <v>84.81</v>
      </c>
      <c r="CZ124" s="158"/>
      <c r="DA124" s="313" t="str">
        <f t="shared" si="48"/>
        <v>545</v>
      </c>
      <c r="DB124" s="356">
        <v>43282</v>
      </c>
      <c r="DC124" s="356">
        <v>43282</v>
      </c>
      <c r="DD124" s="371" t="s">
        <v>375</v>
      </c>
      <c r="DE124" s="371"/>
      <c r="DF124" s="371">
        <v>4</v>
      </c>
      <c r="DG124" s="371">
        <v>5</v>
      </c>
      <c r="DH124" s="371">
        <v>5</v>
      </c>
      <c r="DI124" s="494">
        <f>'FPS Pivot Table'!F134</f>
        <v>160.58000000000001</v>
      </c>
      <c r="DJ124" s="42"/>
      <c r="DK124" s="313" t="str">
        <f t="shared" si="54"/>
        <v>545</v>
      </c>
      <c r="DL124" s="356">
        <v>43282</v>
      </c>
      <c r="DM124" s="356">
        <v>43282</v>
      </c>
      <c r="DN124" s="371" t="s">
        <v>375</v>
      </c>
      <c r="DO124" s="371"/>
      <c r="DP124" s="371">
        <v>4</v>
      </c>
      <c r="DQ124" s="371">
        <v>5</v>
      </c>
      <c r="DR124" s="371">
        <v>5</v>
      </c>
      <c r="DS124" s="494">
        <f>'FPS Pivot Table'!G134</f>
        <v>167</v>
      </c>
      <c r="DT124" s="661">
        <f t="shared" si="53"/>
        <v>173.68</v>
      </c>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row>
    <row r="125" spans="13:157">
      <c r="M125" s="177"/>
      <c r="Q125" s="32"/>
      <c r="AP125" s="386"/>
      <c r="AQ125" s="338" t="s">
        <v>481</v>
      </c>
      <c r="AR125" s="570">
        <v>31</v>
      </c>
      <c r="AS125" s="42"/>
      <c r="AT125" s="42"/>
      <c r="AU125" s="42"/>
      <c r="AV125" s="42"/>
      <c r="AW125" s="42"/>
      <c r="AX125" s="314">
        <v>120</v>
      </c>
      <c r="AY125" s="166" t="s">
        <v>4</v>
      </c>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313" t="str">
        <f t="shared" si="50"/>
        <v>551</v>
      </c>
      <c r="CG125" s="356">
        <v>43282</v>
      </c>
      <c r="CH125" s="356">
        <v>43282</v>
      </c>
      <c r="CI125" s="370" t="s">
        <v>15</v>
      </c>
      <c r="CJ125" s="370"/>
      <c r="CK125" s="371">
        <v>5</v>
      </c>
      <c r="CL125" s="371">
        <v>1</v>
      </c>
      <c r="CM125" s="370">
        <v>5</v>
      </c>
      <c r="CN125" s="494">
        <f>'FPS Pivot Table'!D135</f>
        <v>80.47</v>
      </c>
      <c r="CO125" s="158"/>
      <c r="CP125" s="313" t="str">
        <f t="shared" si="51"/>
        <v>551</v>
      </c>
      <c r="CQ125" s="356">
        <v>43282</v>
      </c>
      <c r="CR125" s="356">
        <v>43282</v>
      </c>
      <c r="CS125" s="370" t="s">
        <v>15</v>
      </c>
      <c r="CT125" s="370"/>
      <c r="CU125" s="371">
        <v>5</v>
      </c>
      <c r="CV125" s="371">
        <v>1</v>
      </c>
      <c r="CW125" s="370">
        <v>5</v>
      </c>
      <c r="CX125" s="494">
        <f>'FPS Pivot Table'!E135</f>
        <v>83.69</v>
      </c>
      <c r="CY125" s="661">
        <f t="shared" si="52"/>
        <v>87.04</v>
      </c>
      <c r="CZ125" s="158"/>
      <c r="DA125" s="313" t="str">
        <f t="shared" si="48"/>
        <v>551</v>
      </c>
      <c r="DB125" s="356">
        <v>43282</v>
      </c>
      <c r="DC125" s="356">
        <v>43282</v>
      </c>
      <c r="DD125" s="371" t="s">
        <v>375</v>
      </c>
      <c r="DE125" s="371"/>
      <c r="DF125" s="371">
        <v>5</v>
      </c>
      <c r="DG125" s="371">
        <v>1</v>
      </c>
      <c r="DH125" s="371">
        <v>5</v>
      </c>
      <c r="DI125" s="494">
        <f>'FPS Pivot Table'!F135</f>
        <v>204.29</v>
      </c>
      <c r="DJ125" s="42"/>
      <c r="DK125" s="313" t="str">
        <f t="shared" si="54"/>
        <v>551</v>
      </c>
      <c r="DL125" s="356">
        <v>43282</v>
      </c>
      <c r="DM125" s="356">
        <v>43282</v>
      </c>
      <c r="DN125" s="371" t="s">
        <v>375</v>
      </c>
      <c r="DO125" s="371"/>
      <c r="DP125" s="371">
        <v>5</v>
      </c>
      <c r="DQ125" s="371">
        <v>1</v>
      </c>
      <c r="DR125" s="371">
        <v>5</v>
      </c>
      <c r="DS125" s="494">
        <f>'FPS Pivot Table'!G135</f>
        <v>212.46</v>
      </c>
      <c r="DT125" s="661">
        <f t="shared" si="53"/>
        <v>220.96</v>
      </c>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row>
    <row r="126" spans="13:157">
      <c r="M126" s="177"/>
      <c r="Q126" s="32"/>
      <c r="AP126" s="386"/>
      <c r="AQ126" s="338" t="s">
        <v>482</v>
      </c>
      <c r="AR126" s="570">
        <v>28</v>
      </c>
      <c r="AS126" s="42"/>
      <c r="AT126" s="42"/>
      <c r="AU126" s="42"/>
      <c r="AV126" s="42"/>
      <c r="AW126" s="42"/>
      <c r="AX126" s="314">
        <v>121</v>
      </c>
      <c r="AY126" s="166" t="s">
        <v>4</v>
      </c>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313" t="str">
        <f t="shared" si="50"/>
        <v>552</v>
      </c>
      <c r="CG126" s="356">
        <v>43282</v>
      </c>
      <c r="CH126" s="356">
        <v>43282</v>
      </c>
      <c r="CI126" s="370" t="s">
        <v>15</v>
      </c>
      <c r="CJ126" s="370"/>
      <c r="CK126" s="371">
        <v>5</v>
      </c>
      <c r="CL126" s="371">
        <v>2</v>
      </c>
      <c r="CM126" s="370">
        <v>5</v>
      </c>
      <c r="CN126" s="494">
        <f>'FPS Pivot Table'!D136</f>
        <v>83.53</v>
      </c>
      <c r="CO126" s="158"/>
      <c r="CP126" s="313" t="str">
        <f t="shared" si="51"/>
        <v>552</v>
      </c>
      <c r="CQ126" s="356">
        <v>43282</v>
      </c>
      <c r="CR126" s="356">
        <v>43282</v>
      </c>
      <c r="CS126" s="370" t="s">
        <v>15</v>
      </c>
      <c r="CT126" s="370"/>
      <c r="CU126" s="371">
        <v>5</v>
      </c>
      <c r="CV126" s="371">
        <v>2</v>
      </c>
      <c r="CW126" s="370">
        <v>5</v>
      </c>
      <c r="CX126" s="494">
        <f>'FPS Pivot Table'!E136</f>
        <v>86.87</v>
      </c>
      <c r="CY126" s="661">
        <f t="shared" si="52"/>
        <v>90.34</v>
      </c>
      <c r="CZ126" s="158"/>
      <c r="DA126" s="313" t="str">
        <f t="shared" si="48"/>
        <v>552</v>
      </c>
      <c r="DB126" s="356">
        <v>43282</v>
      </c>
      <c r="DC126" s="356">
        <v>43282</v>
      </c>
      <c r="DD126" s="371" t="s">
        <v>375</v>
      </c>
      <c r="DE126" s="371"/>
      <c r="DF126" s="371">
        <v>5</v>
      </c>
      <c r="DG126" s="371">
        <v>2</v>
      </c>
      <c r="DH126" s="371">
        <v>5</v>
      </c>
      <c r="DI126" s="494">
        <f>'FPS Pivot Table'!F136</f>
        <v>206.96</v>
      </c>
      <c r="DJ126" s="42"/>
      <c r="DK126" s="313" t="str">
        <f t="shared" si="54"/>
        <v>552</v>
      </c>
      <c r="DL126" s="356">
        <v>43282</v>
      </c>
      <c r="DM126" s="356">
        <v>43282</v>
      </c>
      <c r="DN126" s="371" t="s">
        <v>375</v>
      </c>
      <c r="DO126" s="371"/>
      <c r="DP126" s="371">
        <v>5</v>
      </c>
      <c r="DQ126" s="371">
        <v>2</v>
      </c>
      <c r="DR126" s="371">
        <v>5</v>
      </c>
      <c r="DS126" s="494">
        <f>'FPS Pivot Table'!G136</f>
        <v>215.24</v>
      </c>
      <c r="DT126" s="661">
        <f t="shared" si="53"/>
        <v>223.85</v>
      </c>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row>
    <row r="127" spans="13:157">
      <c r="M127" s="177"/>
      <c r="Q127" s="32"/>
      <c r="AP127" s="386"/>
      <c r="AQ127" s="338" t="s">
        <v>483</v>
      </c>
      <c r="AR127" s="570">
        <v>31</v>
      </c>
      <c r="AS127" s="42"/>
      <c r="AT127" s="42"/>
      <c r="AU127" s="42"/>
      <c r="AV127" s="42"/>
      <c r="AW127" s="42"/>
      <c r="AX127" s="314">
        <v>122</v>
      </c>
      <c r="AY127" s="166" t="s">
        <v>4</v>
      </c>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313" t="str">
        <f t="shared" si="50"/>
        <v>553</v>
      </c>
      <c r="CG127" s="356">
        <v>43282</v>
      </c>
      <c r="CH127" s="356">
        <v>43282</v>
      </c>
      <c r="CI127" s="370" t="s">
        <v>15</v>
      </c>
      <c r="CJ127" s="370"/>
      <c r="CK127" s="371">
        <v>5</v>
      </c>
      <c r="CL127" s="371">
        <v>3</v>
      </c>
      <c r="CM127" s="370">
        <v>5</v>
      </c>
      <c r="CN127" s="494">
        <f>'FPS Pivot Table'!D137</f>
        <v>88.49</v>
      </c>
      <c r="CO127" s="158"/>
      <c r="CP127" s="313" t="str">
        <f t="shared" si="51"/>
        <v>553</v>
      </c>
      <c r="CQ127" s="356">
        <v>43282</v>
      </c>
      <c r="CR127" s="356">
        <v>43282</v>
      </c>
      <c r="CS127" s="370" t="s">
        <v>15</v>
      </c>
      <c r="CT127" s="370"/>
      <c r="CU127" s="371">
        <v>5</v>
      </c>
      <c r="CV127" s="371">
        <v>3</v>
      </c>
      <c r="CW127" s="370">
        <v>5</v>
      </c>
      <c r="CX127" s="494">
        <f>'FPS Pivot Table'!E137</f>
        <v>92.03</v>
      </c>
      <c r="CY127" s="661">
        <f t="shared" si="52"/>
        <v>95.71</v>
      </c>
      <c r="CZ127" s="158"/>
      <c r="DA127" s="313" t="str">
        <f t="shared" si="48"/>
        <v>553</v>
      </c>
      <c r="DB127" s="356">
        <v>43282</v>
      </c>
      <c r="DC127" s="356">
        <v>43282</v>
      </c>
      <c r="DD127" s="371" t="s">
        <v>375</v>
      </c>
      <c r="DE127" s="371"/>
      <c r="DF127" s="371">
        <v>5</v>
      </c>
      <c r="DG127" s="371">
        <v>3</v>
      </c>
      <c r="DH127" s="371">
        <v>5</v>
      </c>
      <c r="DI127" s="494">
        <f>'FPS Pivot Table'!F137</f>
        <v>211.32</v>
      </c>
      <c r="DJ127" s="42"/>
      <c r="DK127" s="313" t="str">
        <f t="shared" si="54"/>
        <v>553</v>
      </c>
      <c r="DL127" s="356">
        <v>43282</v>
      </c>
      <c r="DM127" s="356">
        <v>43282</v>
      </c>
      <c r="DN127" s="371" t="s">
        <v>375</v>
      </c>
      <c r="DO127" s="371"/>
      <c r="DP127" s="371">
        <v>5</v>
      </c>
      <c r="DQ127" s="371">
        <v>3</v>
      </c>
      <c r="DR127" s="371">
        <v>5</v>
      </c>
      <c r="DS127" s="494">
        <f>'FPS Pivot Table'!G137</f>
        <v>219.77</v>
      </c>
      <c r="DT127" s="661">
        <f t="shared" si="53"/>
        <v>228.56</v>
      </c>
      <c r="DU127" s="42"/>
      <c r="DV127" s="42"/>
      <c r="DW127" s="42"/>
      <c r="DX127" s="42"/>
      <c r="DY127" s="42"/>
      <c r="DZ127" s="42"/>
      <c r="EA127" s="42"/>
      <c r="EB127" s="42"/>
      <c r="EC127" s="42"/>
      <c r="ED127" s="42"/>
      <c r="EE127" s="42"/>
      <c r="EF127" s="42"/>
      <c r="EG127" s="42"/>
      <c r="EH127" s="42"/>
      <c r="EI127" s="42"/>
      <c r="EJ127" s="42"/>
      <c r="EK127" s="42"/>
      <c r="EL127" s="42"/>
      <c r="EM127" s="42"/>
      <c r="EN127" s="42"/>
      <c r="EO127" s="42"/>
      <c r="EP127" s="42"/>
      <c r="EQ127" s="42"/>
      <c r="ER127" s="42"/>
      <c r="ES127" s="42"/>
      <c r="ET127" s="42"/>
      <c r="EU127" s="42"/>
      <c r="EV127" s="42"/>
      <c r="EW127" s="42"/>
      <c r="EX127" s="42"/>
      <c r="EY127" s="42"/>
      <c r="EZ127" s="42"/>
      <c r="FA127" s="42"/>
    </row>
    <row r="128" spans="13:157">
      <c r="M128" s="177"/>
      <c r="Q128" s="32"/>
      <c r="AP128" s="386"/>
      <c r="AQ128" s="338" t="s">
        <v>484</v>
      </c>
      <c r="AR128" s="570">
        <v>30</v>
      </c>
      <c r="AS128" s="42"/>
      <c r="AT128" s="42"/>
      <c r="AU128" s="42"/>
      <c r="AV128" s="42"/>
      <c r="AW128" s="42"/>
      <c r="AX128" s="314">
        <v>123</v>
      </c>
      <c r="AY128" s="166" t="s">
        <v>4</v>
      </c>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313" t="str">
        <f t="shared" si="50"/>
        <v>554</v>
      </c>
      <c r="CG128" s="356">
        <v>43282</v>
      </c>
      <c r="CH128" s="356">
        <v>43282</v>
      </c>
      <c r="CI128" s="370" t="s">
        <v>15</v>
      </c>
      <c r="CJ128" s="370"/>
      <c r="CK128" s="371">
        <v>5</v>
      </c>
      <c r="CL128" s="371">
        <v>4</v>
      </c>
      <c r="CM128" s="370">
        <v>5</v>
      </c>
      <c r="CN128" s="494">
        <f>'FPS Pivot Table'!D138</f>
        <v>95.18</v>
      </c>
      <c r="CO128" s="158"/>
      <c r="CP128" s="313" t="str">
        <f t="shared" si="51"/>
        <v>554</v>
      </c>
      <c r="CQ128" s="356">
        <v>43282</v>
      </c>
      <c r="CR128" s="356">
        <v>43282</v>
      </c>
      <c r="CS128" s="370" t="s">
        <v>15</v>
      </c>
      <c r="CT128" s="370"/>
      <c r="CU128" s="371">
        <v>5</v>
      </c>
      <c r="CV128" s="371">
        <v>4</v>
      </c>
      <c r="CW128" s="370">
        <v>5</v>
      </c>
      <c r="CX128" s="494">
        <f>'FPS Pivot Table'!E138</f>
        <v>98.99</v>
      </c>
      <c r="CY128" s="661">
        <f t="shared" si="52"/>
        <v>102.95</v>
      </c>
      <c r="CZ128" s="158"/>
      <c r="DA128" s="313" t="str">
        <f t="shared" si="48"/>
        <v>554</v>
      </c>
      <c r="DB128" s="356">
        <v>43282</v>
      </c>
      <c r="DC128" s="356">
        <v>43282</v>
      </c>
      <c r="DD128" s="371" t="s">
        <v>375</v>
      </c>
      <c r="DE128" s="371"/>
      <c r="DF128" s="371">
        <v>5</v>
      </c>
      <c r="DG128" s="371">
        <v>4</v>
      </c>
      <c r="DH128" s="371">
        <v>5</v>
      </c>
      <c r="DI128" s="494">
        <f>'FPS Pivot Table'!F138</f>
        <v>217.19</v>
      </c>
      <c r="DJ128" s="42"/>
      <c r="DK128" s="313" t="str">
        <f t="shared" si="54"/>
        <v>554</v>
      </c>
      <c r="DL128" s="356">
        <v>43282</v>
      </c>
      <c r="DM128" s="356">
        <v>43282</v>
      </c>
      <c r="DN128" s="371" t="s">
        <v>375</v>
      </c>
      <c r="DO128" s="371"/>
      <c r="DP128" s="371">
        <v>5</v>
      </c>
      <c r="DQ128" s="371">
        <v>4</v>
      </c>
      <c r="DR128" s="371">
        <v>5</v>
      </c>
      <c r="DS128" s="494">
        <f>'FPS Pivot Table'!G138</f>
        <v>225.88</v>
      </c>
      <c r="DT128" s="661">
        <f t="shared" si="53"/>
        <v>234.92</v>
      </c>
      <c r="DU128" s="42"/>
      <c r="DV128" s="42"/>
      <c r="DW128" s="42"/>
      <c r="DX128" s="42"/>
      <c r="DY128" s="42"/>
      <c r="DZ128" s="42"/>
      <c r="EA128" s="42"/>
      <c r="EB128" s="42"/>
      <c r="EC128" s="42"/>
      <c r="ED128" s="42"/>
      <c r="EE128" s="42"/>
      <c r="EF128" s="42"/>
      <c r="EG128" s="42"/>
      <c r="EH128" s="42"/>
      <c r="EI128" s="42"/>
      <c r="EJ128" s="42"/>
      <c r="EK128" s="42"/>
      <c r="EL128" s="42"/>
      <c r="EM128" s="42"/>
      <c r="EN128" s="42"/>
      <c r="EO128" s="42"/>
      <c r="EP128" s="42"/>
      <c r="EQ128" s="42"/>
      <c r="ER128" s="42"/>
      <c r="ES128" s="42"/>
      <c r="ET128" s="42"/>
      <c r="EU128" s="42"/>
      <c r="EV128" s="42"/>
      <c r="EW128" s="42"/>
      <c r="EX128" s="42"/>
      <c r="EY128" s="42"/>
      <c r="EZ128" s="42"/>
      <c r="FA128" s="42"/>
    </row>
    <row r="129" spans="13:157">
      <c r="M129" s="177"/>
      <c r="Q129" s="32"/>
      <c r="AP129" s="386"/>
      <c r="AQ129" s="338" t="s">
        <v>485</v>
      </c>
      <c r="AR129" s="570">
        <v>31</v>
      </c>
      <c r="AS129" s="42"/>
      <c r="AT129" s="42"/>
      <c r="AU129" s="42"/>
      <c r="AV129" s="42"/>
      <c r="AW129" s="42"/>
      <c r="AX129" s="314">
        <v>124</v>
      </c>
      <c r="AY129" s="166" t="s">
        <v>4</v>
      </c>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313" t="str">
        <f t="shared" si="50"/>
        <v>555</v>
      </c>
      <c r="CG129" s="356">
        <v>43282</v>
      </c>
      <c r="CH129" s="356">
        <v>43282</v>
      </c>
      <c r="CI129" s="370" t="s">
        <v>15</v>
      </c>
      <c r="CJ129" s="370"/>
      <c r="CK129" s="371">
        <v>5</v>
      </c>
      <c r="CL129" s="371">
        <v>5</v>
      </c>
      <c r="CM129" s="370">
        <v>5</v>
      </c>
      <c r="CN129" s="494">
        <f>'FPS Pivot Table'!D139</f>
        <v>101.07</v>
      </c>
      <c r="CO129" s="158"/>
      <c r="CP129" s="313" t="str">
        <f t="shared" si="51"/>
        <v>555</v>
      </c>
      <c r="CQ129" s="356">
        <v>43282</v>
      </c>
      <c r="CR129" s="356">
        <v>43282</v>
      </c>
      <c r="CS129" s="370" t="s">
        <v>15</v>
      </c>
      <c r="CT129" s="370"/>
      <c r="CU129" s="371">
        <v>5</v>
      </c>
      <c r="CV129" s="371">
        <v>5</v>
      </c>
      <c r="CW129" s="370">
        <v>5</v>
      </c>
      <c r="CX129" s="494">
        <f>'FPS Pivot Table'!E139</f>
        <v>105.11</v>
      </c>
      <c r="CY129" s="661">
        <f t="shared" si="52"/>
        <v>109.31</v>
      </c>
      <c r="CZ129" s="158"/>
      <c r="DA129" s="313" t="str">
        <f t="shared" si="48"/>
        <v>555</v>
      </c>
      <c r="DB129" s="356">
        <v>43282</v>
      </c>
      <c r="DC129" s="356">
        <v>43282</v>
      </c>
      <c r="DD129" s="371" t="s">
        <v>375</v>
      </c>
      <c r="DE129" s="371"/>
      <c r="DF129" s="371">
        <v>5</v>
      </c>
      <c r="DG129" s="371">
        <v>5</v>
      </c>
      <c r="DH129" s="371">
        <v>5</v>
      </c>
      <c r="DI129" s="494">
        <f>'FPS Pivot Table'!F139</f>
        <v>222.37</v>
      </c>
      <c r="DJ129" s="42"/>
      <c r="DK129" s="313" t="str">
        <f t="shared" si="54"/>
        <v>555</v>
      </c>
      <c r="DL129" s="356">
        <v>43282</v>
      </c>
      <c r="DM129" s="356">
        <v>43282</v>
      </c>
      <c r="DN129" s="371" t="s">
        <v>375</v>
      </c>
      <c r="DO129" s="371"/>
      <c r="DP129" s="371">
        <v>5</v>
      </c>
      <c r="DQ129" s="371">
        <v>5</v>
      </c>
      <c r="DR129" s="371">
        <v>5</v>
      </c>
      <c r="DS129" s="494">
        <f>'FPS Pivot Table'!G139</f>
        <v>231.27</v>
      </c>
      <c r="DT129" s="661">
        <f t="shared" si="53"/>
        <v>240.52</v>
      </c>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row>
    <row r="130" spans="13:157" ht="15" thickBot="1">
      <c r="M130" s="177"/>
      <c r="Q130" s="32"/>
      <c r="AP130" s="386"/>
      <c r="AQ130" s="339" t="s">
        <v>486</v>
      </c>
      <c r="AR130" s="571">
        <v>30</v>
      </c>
      <c r="AS130" s="42"/>
      <c r="AT130" s="42"/>
      <c r="AU130" s="42"/>
      <c r="AV130" s="42"/>
      <c r="AW130" s="42"/>
      <c r="AX130" s="314">
        <v>125</v>
      </c>
      <c r="AY130" s="166" t="s">
        <v>4</v>
      </c>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313" t="str">
        <f t="shared" si="50"/>
        <v>611</v>
      </c>
      <c r="CG130" s="356">
        <v>43282</v>
      </c>
      <c r="CH130" s="356">
        <v>43282</v>
      </c>
      <c r="CI130" s="370" t="s">
        <v>15</v>
      </c>
      <c r="CJ130" s="370"/>
      <c r="CK130" s="371">
        <v>1</v>
      </c>
      <c r="CL130" s="371">
        <v>1</v>
      </c>
      <c r="CM130" s="370">
        <v>6</v>
      </c>
      <c r="CN130" s="494">
        <f>'FPS Pivot Table'!D140</f>
        <v>27.69</v>
      </c>
      <c r="CO130" s="158"/>
      <c r="CP130" s="313" t="str">
        <f t="shared" si="51"/>
        <v>611</v>
      </c>
      <c r="CQ130" s="356">
        <v>43282</v>
      </c>
      <c r="CR130" s="356">
        <v>43282</v>
      </c>
      <c r="CS130" s="370" t="s">
        <v>15</v>
      </c>
      <c r="CT130" s="370"/>
      <c r="CU130" s="371">
        <v>1</v>
      </c>
      <c r="CV130" s="371">
        <v>1</v>
      </c>
      <c r="CW130" s="370">
        <v>6</v>
      </c>
      <c r="CX130" s="494">
        <f>'FPS Pivot Table'!E140</f>
        <v>28.8</v>
      </c>
      <c r="CY130" s="661">
        <f t="shared" si="52"/>
        <v>29.95</v>
      </c>
      <c r="CZ130" s="158"/>
      <c r="DA130" s="313" t="str">
        <f t="shared" si="48"/>
        <v>611</v>
      </c>
      <c r="DB130" s="356">
        <v>43282</v>
      </c>
      <c r="DC130" s="356">
        <v>43282</v>
      </c>
      <c r="DD130" s="371" t="s">
        <v>375</v>
      </c>
      <c r="DE130" s="371"/>
      <c r="DF130" s="371">
        <v>1</v>
      </c>
      <c r="DG130" s="371">
        <v>1</v>
      </c>
      <c r="DH130" s="371">
        <v>6</v>
      </c>
      <c r="DI130" s="494">
        <f>'FPS Pivot Table'!F140</f>
        <v>27.12</v>
      </c>
      <c r="DJ130" s="42"/>
      <c r="DK130" s="313" t="str">
        <f t="shared" si="54"/>
        <v>611</v>
      </c>
      <c r="DL130" s="356">
        <v>43282</v>
      </c>
      <c r="DM130" s="356">
        <v>43282</v>
      </c>
      <c r="DN130" s="371" t="s">
        <v>375</v>
      </c>
      <c r="DO130" s="371"/>
      <c r="DP130" s="371">
        <v>1</v>
      </c>
      <c r="DQ130" s="371">
        <v>1</v>
      </c>
      <c r="DR130" s="371">
        <v>6</v>
      </c>
      <c r="DS130" s="494">
        <f>'FPS Pivot Table'!G140</f>
        <v>28.2</v>
      </c>
      <c r="DT130" s="661">
        <f t="shared" si="53"/>
        <v>29.33</v>
      </c>
      <c r="DU130" s="42"/>
      <c r="DV130" s="42"/>
      <c r="DW130" s="42"/>
      <c r="DX130" s="42"/>
      <c r="DY130" s="42"/>
      <c r="DZ130" s="42"/>
      <c r="EA130" s="42"/>
      <c r="EB130" s="42"/>
      <c r="EC130" s="42"/>
      <c r="ED130" s="42"/>
      <c r="EE130" s="42"/>
      <c r="EF130" s="42"/>
      <c r="EG130" s="42"/>
      <c r="EH130" s="42"/>
      <c r="EI130" s="42"/>
      <c r="EJ130" s="42"/>
      <c r="EK130" s="42"/>
      <c r="EL130" s="42"/>
      <c r="EM130" s="42"/>
      <c r="EN130" s="42"/>
      <c r="EO130" s="42"/>
      <c r="EP130" s="42"/>
      <c r="EQ130" s="42"/>
      <c r="ER130" s="42"/>
      <c r="ES130" s="42"/>
      <c r="ET130" s="42"/>
      <c r="EU130" s="42"/>
      <c r="EV130" s="42"/>
      <c r="EW130" s="42"/>
      <c r="EX130" s="42"/>
      <c r="EY130" s="42"/>
      <c r="EZ130" s="42"/>
      <c r="FA130" s="42"/>
    </row>
    <row r="131" spans="13:157">
      <c r="M131" s="177"/>
      <c r="Q131" s="32"/>
      <c r="AP131" s="386"/>
      <c r="AQ131" s="338" t="s">
        <v>497</v>
      </c>
      <c r="AR131" s="570">
        <v>31</v>
      </c>
      <c r="AS131" s="42"/>
      <c r="AT131" s="42"/>
      <c r="AU131" s="42"/>
      <c r="AV131" s="42"/>
      <c r="AW131" s="42"/>
      <c r="AX131" s="314">
        <v>126</v>
      </c>
      <c r="AY131" s="166" t="s">
        <v>4</v>
      </c>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313" t="str">
        <f t="shared" si="50"/>
        <v>612</v>
      </c>
      <c r="CG131" s="356">
        <v>43282</v>
      </c>
      <c r="CH131" s="356">
        <v>43282</v>
      </c>
      <c r="CI131" s="370" t="s">
        <v>15</v>
      </c>
      <c r="CJ131" s="370"/>
      <c r="CK131" s="371">
        <v>1</v>
      </c>
      <c r="CL131" s="371">
        <v>2</v>
      </c>
      <c r="CM131" s="370">
        <v>6</v>
      </c>
      <c r="CN131" s="494">
        <f>'FPS Pivot Table'!D141</f>
        <v>30.56</v>
      </c>
      <c r="CO131" s="158"/>
      <c r="CP131" s="313" t="str">
        <f t="shared" si="51"/>
        <v>612</v>
      </c>
      <c r="CQ131" s="356">
        <v>43282</v>
      </c>
      <c r="CR131" s="356">
        <v>43282</v>
      </c>
      <c r="CS131" s="370" t="s">
        <v>15</v>
      </c>
      <c r="CT131" s="370"/>
      <c r="CU131" s="371">
        <v>1</v>
      </c>
      <c r="CV131" s="371">
        <v>2</v>
      </c>
      <c r="CW131" s="370">
        <v>6</v>
      </c>
      <c r="CX131" s="494">
        <f>'FPS Pivot Table'!E141</f>
        <v>31.78</v>
      </c>
      <c r="CY131" s="661">
        <f t="shared" si="52"/>
        <v>33.049999999999997</v>
      </c>
      <c r="CZ131" s="158"/>
      <c r="DA131" s="313" t="str">
        <f t="shared" si="48"/>
        <v>612</v>
      </c>
      <c r="DB131" s="356">
        <v>43282</v>
      </c>
      <c r="DC131" s="356">
        <v>43282</v>
      </c>
      <c r="DD131" s="371" t="s">
        <v>375</v>
      </c>
      <c r="DE131" s="377"/>
      <c r="DF131" s="377">
        <v>1</v>
      </c>
      <c r="DG131" s="377">
        <v>2</v>
      </c>
      <c r="DH131" s="377">
        <v>6</v>
      </c>
      <c r="DI131" s="494">
        <f>'FPS Pivot Table'!F141</f>
        <v>29.65</v>
      </c>
      <c r="DJ131" s="42"/>
      <c r="DK131" s="313" t="str">
        <f t="shared" si="54"/>
        <v>612</v>
      </c>
      <c r="DL131" s="356">
        <v>43282</v>
      </c>
      <c r="DM131" s="356">
        <v>43282</v>
      </c>
      <c r="DN131" s="371" t="s">
        <v>375</v>
      </c>
      <c r="DO131" s="377"/>
      <c r="DP131" s="377">
        <v>1</v>
      </c>
      <c r="DQ131" s="377">
        <v>2</v>
      </c>
      <c r="DR131" s="377">
        <v>6</v>
      </c>
      <c r="DS131" s="494">
        <f>'FPS Pivot Table'!G141</f>
        <v>30.84</v>
      </c>
      <c r="DT131" s="661">
        <f t="shared" si="53"/>
        <v>32.07</v>
      </c>
      <c r="DU131" s="42"/>
      <c r="DV131" s="42"/>
      <c r="DW131" s="42"/>
      <c r="DX131" s="42"/>
      <c r="DY131" s="42"/>
      <c r="DZ131" s="42"/>
      <c r="EA131" s="42"/>
      <c r="EB131" s="42"/>
      <c r="EC131" s="42"/>
      <c r="ED131" s="42"/>
      <c r="EE131" s="42"/>
      <c r="EF131" s="42"/>
      <c r="EG131" s="42"/>
      <c r="EH131" s="42"/>
      <c r="EI131" s="42"/>
      <c r="EJ131" s="42"/>
      <c r="EK131" s="42"/>
      <c r="EL131" s="42"/>
      <c r="EM131" s="42"/>
      <c r="EN131" s="42"/>
      <c r="EO131" s="42"/>
      <c r="EP131" s="42"/>
      <c r="EQ131" s="42"/>
      <c r="ER131" s="42"/>
      <c r="ES131" s="42"/>
      <c r="ET131" s="42"/>
      <c r="EU131" s="42"/>
      <c r="EV131" s="42"/>
      <c r="EW131" s="42"/>
      <c r="EX131" s="42"/>
      <c r="EY131" s="42"/>
      <c r="EZ131" s="42"/>
      <c r="FA131" s="42"/>
    </row>
    <row r="132" spans="13:157">
      <c r="M132" s="177"/>
      <c r="Q132" s="32"/>
      <c r="AP132" s="386"/>
      <c r="AQ132" s="338" t="s">
        <v>498</v>
      </c>
      <c r="AR132" s="570">
        <v>31</v>
      </c>
      <c r="AS132" s="42"/>
      <c r="AT132" s="42"/>
      <c r="AU132" s="42"/>
      <c r="AV132" s="42"/>
      <c r="AW132" s="42"/>
      <c r="AX132" s="314">
        <v>127</v>
      </c>
      <c r="AY132" s="166" t="s">
        <v>4</v>
      </c>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313" t="str">
        <f t="shared" si="50"/>
        <v>613</v>
      </c>
      <c r="CG132" s="356">
        <v>43282</v>
      </c>
      <c r="CH132" s="356">
        <v>43282</v>
      </c>
      <c r="CI132" s="370" t="s">
        <v>15</v>
      </c>
      <c r="CJ132" s="370"/>
      <c r="CK132" s="371">
        <v>1</v>
      </c>
      <c r="CL132" s="371">
        <v>3</v>
      </c>
      <c r="CM132" s="370">
        <v>6</v>
      </c>
      <c r="CN132" s="494">
        <f>'FPS Pivot Table'!D142</f>
        <v>35.229999999999997</v>
      </c>
      <c r="CO132" s="158"/>
      <c r="CP132" s="313" t="str">
        <f t="shared" si="51"/>
        <v>613</v>
      </c>
      <c r="CQ132" s="356">
        <v>43282</v>
      </c>
      <c r="CR132" s="356">
        <v>43282</v>
      </c>
      <c r="CS132" s="370" t="s">
        <v>15</v>
      </c>
      <c r="CT132" s="370"/>
      <c r="CU132" s="371">
        <v>1</v>
      </c>
      <c r="CV132" s="371">
        <v>3</v>
      </c>
      <c r="CW132" s="370">
        <v>6</v>
      </c>
      <c r="CX132" s="494">
        <f>'FPS Pivot Table'!E142</f>
        <v>36.64</v>
      </c>
      <c r="CY132" s="661">
        <f t="shared" si="52"/>
        <v>38.11</v>
      </c>
      <c r="CZ132" s="158"/>
      <c r="DA132" s="313" t="str">
        <f t="shared" si="48"/>
        <v>613</v>
      </c>
      <c r="DB132" s="356">
        <v>43282</v>
      </c>
      <c r="DC132" s="356">
        <v>43282</v>
      </c>
      <c r="DD132" s="371" t="s">
        <v>375</v>
      </c>
      <c r="DE132" s="377"/>
      <c r="DF132" s="377">
        <v>1</v>
      </c>
      <c r="DG132" s="377">
        <v>3</v>
      </c>
      <c r="DH132" s="377">
        <v>6</v>
      </c>
      <c r="DI132" s="494">
        <f>'FPS Pivot Table'!F142</f>
        <v>33.76</v>
      </c>
      <c r="DJ132" s="42"/>
      <c r="DK132" s="313" t="str">
        <f t="shared" si="54"/>
        <v>613</v>
      </c>
      <c r="DL132" s="356">
        <v>43282</v>
      </c>
      <c r="DM132" s="356">
        <v>43282</v>
      </c>
      <c r="DN132" s="371" t="s">
        <v>375</v>
      </c>
      <c r="DO132" s="377"/>
      <c r="DP132" s="377">
        <v>1</v>
      </c>
      <c r="DQ132" s="377">
        <v>3</v>
      </c>
      <c r="DR132" s="377">
        <v>6</v>
      </c>
      <c r="DS132" s="494">
        <f>'FPS Pivot Table'!G142</f>
        <v>35.11</v>
      </c>
      <c r="DT132" s="661">
        <f t="shared" si="53"/>
        <v>36.51</v>
      </c>
      <c r="DU132" s="42"/>
      <c r="DV132" s="42"/>
      <c r="DW132" s="42"/>
      <c r="DX132" s="42"/>
      <c r="DY132" s="42"/>
      <c r="DZ132" s="42"/>
      <c r="EA132" s="42"/>
      <c r="EB132" s="42"/>
      <c r="EC132" s="42"/>
      <c r="ED132" s="42"/>
      <c r="EE132" s="42"/>
      <c r="EF132" s="42"/>
      <c r="EG132" s="42"/>
      <c r="EH132" s="42"/>
      <c r="EI132" s="42"/>
      <c r="EJ132" s="42"/>
      <c r="EK132" s="42"/>
      <c r="EL132" s="42"/>
      <c r="EM132" s="42"/>
      <c r="EN132" s="42"/>
      <c r="EO132" s="42"/>
      <c r="EP132" s="42"/>
      <c r="EQ132" s="42"/>
      <c r="ER132" s="42"/>
      <c r="ES132" s="42"/>
      <c r="ET132" s="42"/>
      <c r="EU132" s="42"/>
      <c r="EV132" s="42"/>
      <c r="EW132" s="42"/>
      <c r="EX132" s="42"/>
      <c r="EY132" s="42"/>
      <c r="EZ132" s="42"/>
      <c r="FA132" s="42"/>
    </row>
    <row r="133" spans="13:157">
      <c r="M133" s="177"/>
      <c r="Q133" s="32"/>
      <c r="AP133" s="386"/>
      <c r="AQ133" s="338" t="s">
        <v>499</v>
      </c>
      <c r="AR133" s="570">
        <v>30</v>
      </c>
      <c r="AS133" s="42"/>
      <c r="AT133" s="42"/>
      <c r="AU133" s="42"/>
      <c r="AV133" s="42"/>
      <c r="AW133" s="42"/>
      <c r="AX133" s="314">
        <v>128</v>
      </c>
      <c r="AY133" s="166" t="s">
        <v>4</v>
      </c>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313" t="str">
        <f t="shared" si="50"/>
        <v>614</v>
      </c>
      <c r="CG133" s="356">
        <v>43282</v>
      </c>
      <c r="CH133" s="356">
        <v>43282</v>
      </c>
      <c r="CI133" s="370" t="s">
        <v>15</v>
      </c>
      <c r="CJ133" s="370"/>
      <c r="CK133" s="371">
        <v>1</v>
      </c>
      <c r="CL133" s="371">
        <v>4</v>
      </c>
      <c r="CM133" s="370">
        <v>6</v>
      </c>
      <c r="CN133" s="494">
        <f>'FPS Pivot Table'!D143</f>
        <v>41.56</v>
      </c>
      <c r="CO133" s="158"/>
      <c r="CP133" s="313" t="str">
        <f t="shared" si="51"/>
        <v>614</v>
      </c>
      <c r="CQ133" s="356">
        <v>43282</v>
      </c>
      <c r="CR133" s="356">
        <v>43282</v>
      </c>
      <c r="CS133" s="370" t="s">
        <v>15</v>
      </c>
      <c r="CT133" s="370"/>
      <c r="CU133" s="371">
        <v>1</v>
      </c>
      <c r="CV133" s="371">
        <v>4</v>
      </c>
      <c r="CW133" s="370">
        <v>6</v>
      </c>
      <c r="CX133" s="494">
        <f>'FPS Pivot Table'!E143</f>
        <v>43.22</v>
      </c>
      <c r="CY133" s="661">
        <f t="shared" si="52"/>
        <v>44.95</v>
      </c>
      <c r="CZ133" s="158"/>
      <c r="DA133" s="313" t="str">
        <f t="shared" ref="DA133:DA154" si="55">CONCATENATE(DH133,DF133,DG133)</f>
        <v>614</v>
      </c>
      <c r="DB133" s="356">
        <v>43282</v>
      </c>
      <c r="DC133" s="356">
        <v>43282</v>
      </c>
      <c r="DD133" s="371" t="s">
        <v>375</v>
      </c>
      <c r="DE133" s="377"/>
      <c r="DF133" s="377">
        <v>1</v>
      </c>
      <c r="DG133" s="377">
        <v>4</v>
      </c>
      <c r="DH133" s="377">
        <v>6</v>
      </c>
      <c r="DI133" s="494">
        <f>'FPS Pivot Table'!F143</f>
        <v>39.299999999999997</v>
      </c>
      <c r="DJ133" s="42"/>
      <c r="DK133" s="313" t="str">
        <f t="shared" ref="DK133:DK154" si="56">CONCATENATE(DR133,DP133,DQ133)</f>
        <v>614</v>
      </c>
      <c r="DL133" s="356">
        <v>43282</v>
      </c>
      <c r="DM133" s="356">
        <v>43282</v>
      </c>
      <c r="DN133" s="371" t="s">
        <v>375</v>
      </c>
      <c r="DO133" s="377"/>
      <c r="DP133" s="377">
        <v>1</v>
      </c>
      <c r="DQ133" s="377">
        <v>4</v>
      </c>
      <c r="DR133" s="377">
        <v>6</v>
      </c>
      <c r="DS133" s="494">
        <f>'FPS Pivot Table'!G143</f>
        <v>40.869999999999997</v>
      </c>
      <c r="DT133" s="661">
        <f t="shared" si="53"/>
        <v>42.5</v>
      </c>
      <c r="DU133" s="42"/>
      <c r="DV133" s="42"/>
      <c r="DW133" s="42"/>
      <c r="DX133" s="42"/>
      <c r="DY133" s="42"/>
      <c r="DZ133" s="42"/>
      <c r="EA133" s="42"/>
      <c r="EB133" s="42"/>
      <c r="EC133" s="42"/>
      <c r="ED133" s="42"/>
      <c r="EE133" s="42"/>
      <c r="EF133" s="42"/>
      <c r="EG133" s="42"/>
      <c r="EH133" s="42"/>
      <c r="EI133" s="42"/>
      <c r="EJ133" s="42"/>
      <c r="EK133" s="42"/>
      <c r="EL133" s="42"/>
      <c r="EM133" s="42"/>
      <c r="EN133" s="42"/>
      <c r="EO133" s="42"/>
      <c r="EP133" s="42"/>
      <c r="EQ133" s="42"/>
      <c r="ER133" s="42"/>
      <c r="ES133" s="42"/>
      <c r="ET133" s="42"/>
      <c r="EU133" s="42"/>
      <c r="EV133" s="42"/>
      <c r="EW133" s="42"/>
      <c r="EX133" s="42"/>
      <c r="EY133" s="42"/>
      <c r="EZ133" s="42"/>
      <c r="FA133" s="42"/>
    </row>
    <row r="134" spans="13:157">
      <c r="M134" s="177"/>
      <c r="Q134" s="32"/>
      <c r="AP134" s="386"/>
      <c r="AQ134" s="338" t="s">
        <v>500</v>
      </c>
      <c r="AR134" s="570">
        <v>31</v>
      </c>
      <c r="AS134" s="42"/>
      <c r="AT134" s="42"/>
      <c r="AU134" s="42"/>
      <c r="AV134" s="42"/>
      <c r="AW134" s="42"/>
      <c r="AX134" s="314">
        <v>129</v>
      </c>
      <c r="AY134" s="166" t="s">
        <v>4</v>
      </c>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313" t="str">
        <f t="shared" ref="CF134:CF154" si="57">CONCATENATE(CM134,CK134,CL134)</f>
        <v>615</v>
      </c>
      <c r="CG134" s="356">
        <v>43282</v>
      </c>
      <c r="CH134" s="356">
        <v>43282</v>
      </c>
      <c r="CI134" s="370" t="s">
        <v>15</v>
      </c>
      <c r="CJ134" s="370"/>
      <c r="CK134" s="371">
        <v>1</v>
      </c>
      <c r="CL134" s="371">
        <v>5</v>
      </c>
      <c r="CM134" s="370">
        <v>6</v>
      </c>
      <c r="CN134" s="494">
        <f>'FPS Pivot Table'!D144</f>
        <v>47.1</v>
      </c>
      <c r="CO134" s="158"/>
      <c r="CP134" s="313" t="str">
        <f t="shared" ref="CP134:CP154" si="58">CONCATENATE(CW134,CU134,CV134)</f>
        <v>615</v>
      </c>
      <c r="CQ134" s="356">
        <v>43282</v>
      </c>
      <c r="CR134" s="356">
        <v>43282</v>
      </c>
      <c r="CS134" s="370" t="s">
        <v>15</v>
      </c>
      <c r="CT134" s="370"/>
      <c r="CU134" s="371">
        <v>1</v>
      </c>
      <c r="CV134" s="371">
        <v>5</v>
      </c>
      <c r="CW134" s="370">
        <v>6</v>
      </c>
      <c r="CX134" s="494">
        <f>'FPS Pivot Table'!E144</f>
        <v>48.98</v>
      </c>
      <c r="CY134" s="661">
        <f t="shared" ref="CY134:CY154" si="59">ROUND(+CX134*(1+$CY$4),2)</f>
        <v>50.94</v>
      </c>
      <c r="CZ134" s="158"/>
      <c r="DA134" s="313" t="str">
        <f t="shared" si="55"/>
        <v>615</v>
      </c>
      <c r="DB134" s="356">
        <v>43282</v>
      </c>
      <c r="DC134" s="356">
        <v>43282</v>
      </c>
      <c r="DD134" s="371" t="s">
        <v>375</v>
      </c>
      <c r="DE134" s="377"/>
      <c r="DF134" s="377">
        <v>1</v>
      </c>
      <c r="DG134" s="377">
        <v>5</v>
      </c>
      <c r="DH134" s="377">
        <v>6</v>
      </c>
      <c r="DI134" s="494">
        <f>'FPS Pivot Table'!F144</f>
        <v>44.14</v>
      </c>
      <c r="DJ134" s="42"/>
      <c r="DK134" s="313" t="str">
        <f t="shared" si="56"/>
        <v>615</v>
      </c>
      <c r="DL134" s="356">
        <v>43282</v>
      </c>
      <c r="DM134" s="356">
        <v>43282</v>
      </c>
      <c r="DN134" s="371" t="s">
        <v>375</v>
      </c>
      <c r="DO134" s="377"/>
      <c r="DP134" s="377">
        <v>1</v>
      </c>
      <c r="DQ134" s="377">
        <v>5</v>
      </c>
      <c r="DR134" s="377">
        <v>6</v>
      </c>
      <c r="DS134" s="494">
        <f>'FPS Pivot Table'!G144</f>
        <v>45.91</v>
      </c>
      <c r="DT134" s="661">
        <f t="shared" ref="DT134:DT154" si="60">ROUND(+DS134*(1+$DT$4),2)</f>
        <v>47.75</v>
      </c>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row>
    <row r="135" spans="13:157">
      <c r="M135" s="177"/>
      <c r="Q135" s="32"/>
      <c r="AP135" s="386"/>
      <c r="AQ135" s="338" t="s">
        <v>501</v>
      </c>
      <c r="AR135" s="570">
        <v>30</v>
      </c>
      <c r="AS135" s="42"/>
      <c r="AT135" s="42"/>
      <c r="AU135" s="42"/>
      <c r="AV135" s="42"/>
      <c r="AW135" s="42"/>
      <c r="AX135" s="314">
        <v>130</v>
      </c>
      <c r="AY135" s="166" t="s">
        <v>4</v>
      </c>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313" t="str">
        <f t="shared" si="57"/>
        <v>621</v>
      </c>
      <c r="CG135" s="356">
        <v>43282</v>
      </c>
      <c r="CH135" s="356">
        <v>43282</v>
      </c>
      <c r="CI135" s="370" t="s">
        <v>15</v>
      </c>
      <c r="CJ135" s="370"/>
      <c r="CK135" s="371">
        <v>2</v>
      </c>
      <c r="CL135" s="371">
        <v>1</v>
      </c>
      <c r="CM135" s="370">
        <v>6</v>
      </c>
      <c r="CN135" s="494">
        <f>'FPS Pivot Table'!D145</f>
        <v>33.090000000000003</v>
      </c>
      <c r="CO135" s="158"/>
      <c r="CP135" s="313" t="str">
        <f t="shared" si="58"/>
        <v>621</v>
      </c>
      <c r="CQ135" s="356">
        <v>43282</v>
      </c>
      <c r="CR135" s="356">
        <v>43282</v>
      </c>
      <c r="CS135" s="370" t="s">
        <v>15</v>
      </c>
      <c r="CT135" s="370"/>
      <c r="CU135" s="371">
        <v>2</v>
      </c>
      <c r="CV135" s="371">
        <v>1</v>
      </c>
      <c r="CW135" s="370">
        <v>6</v>
      </c>
      <c r="CX135" s="494">
        <f>'FPS Pivot Table'!E145</f>
        <v>34.409999999999997</v>
      </c>
      <c r="CY135" s="661">
        <f t="shared" si="59"/>
        <v>35.79</v>
      </c>
      <c r="CZ135" s="158"/>
      <c r="DA135" s="313" t="str">
        <f t="shared" si="55"/>
        <v>621</v>
      </c>
      <c r="DB135" s="356">
        <v>43282</v>
      </c>
      <c r="DC135" s="356">
        <v>43282</v>
      </c>
      <c r="DD135" s="371" t="s">
        <v>375</v>
      </c>
      <c r="DE135" s="377"/>
      <c r="DF135" s="377">
        <v>2</v>
      </c>
      <c r="DG135" s="377">
        <v>1</v>
      </c>
      <c r="DH135" s="377">
        <v>6</v>
      </c>
      <c r="DI135" s="494">
        <f>'FPS Pivot Table'!F145</f>
        <v>48.54</v>
      </c>
      <c r="DJ135" s="42"/>
      <c r="DK135" s="313" t="str">
        <f t="shared" si="56"/>
        <v>621</v>
      </c>
      <c r="DL135" s="356">
        <v>43282</v>
      </c>
      <c r="DM135" s="356">
        <v>43282</v>
      </c>
      <c r="DN135" s="371" t="s">
        <v>375</v>
      </c>
      <c r="DO135" s="377"/>
      <c r="DP135" s="377">
        <v>2</v>
      </c>
      <c r="DQ135" s="377">
        <v>1</v>
      </c>
      <c r="DR135" s="377">
        <v>6</v>
      </c>
      <c r="DS135" s="494">
        <f>'FPS Pivot Table'!G145</f>
        <v>50.48</v>
      </c>
      <c r="DT135" s="661">
        <f t="shared" si="60"/>
        <v>52.5</v>
      </c>
      <c r="DU135" s="42"/>
      <c r="DV135" s="42"/>
      <c r="DW135" s="42"/>
      <c r="DX135" s="42"/>
      <c r="DY135" s="42"/>
      <c r="DZ135" s="42"/>
      <c r="EA135" s="42"/>
      <c r="EB135" s="42"/>
      <c r="EC135" s="42"/>
      <c r="ED135" s="42"/>
      <c r="EE135" s="42"/>
      <c r="EF135" s="42"/>
      <c r="EG135" s="42"/>
      <c r="EH135" s="42"/>
      <c r="EI135" s="42"/>
      <c r="EJ135" s="42"/>
      <c r="EK135" s="42"/>
      <c r="EL135" s="42"/>
      <c r="EM135" s="42"/>
      <c r="EN135" s="42"/>
      <c r="EO135" s="42"/>
      <c r="EP135" s="42"/>
      <c r="EQ135" s="42"/>
      <c r="ER135" s="42"/>
      <c r="ES135" s="42"/>
      <c r="ET135" s="42"/>
      <c r="EU135" s="42"/>
      <c r="EV135" s="42"/>
      <c r="EW135" s="42"/>
      <c r="EX135" s="42"/>
      <c r="EY135" s="42"/>
      <c r="EZ135" s="42"/>
      <c r="FA135" s="42"/>
    </row>
    <row r="136" spans="13:157">
      <c r="M136" s="177"/>
      <c r="Q136" s="32"/>
      <c r="AP136" s="386"/>
      <c r="AQ136" s="338" t="s">
        <v>502</v>
      </c>
      <c r="AR136" s="570">
        <v>31</v>
      </c>
      <c r="AS136" s="42"/>
      <c r="AT136" s="42"/>
      <c r="AU136" s="42"/>
      <c r="AV136" s="42"/>
      <c r="AW136" s="42"/>
      <c r="AX136" s="314">
        <v>131</v>
      </c>
      <c r="AY136" s="166" t="s">
        <v>4</v>
      </c>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313" t="str">
        <f t="shared" si="57"/>
        <v>622</v>
      </c>
      <c r="CG136" s="356">
        <v>43282</v>
      </c>
      <c r="CH136" s="356">
        <v>43282</v>
      </c>
      <c r="CI136" s="370" t="s">
        <v>15</v>
      </c>
      <c r="CJ136" s="370"/>
      <c r="CK136" s="371">
        <v>2</v>
      </c>
      <c r="CL136" s="371">
        <v>2</v>
      </c>
      <c r="CM136" s="370">
        <v>6</v>
      </c>
      <c r="CN136" s="494">
        <f>'FPS Pivot Table'!D146</f>
        <v>35.950000000000003</v>
      </c>
      <c r="CO136" s="158"/>
      <c r="CP136" s="313" t="str">
        <f t="shared" si="58"/>
        <v>622</v>
      </c>
      <c r="CQ136" s="356">
        <v>43282</v>
      </c>
      <c r="CR136" s="356">
        <v>43282</v>
      </c>
      <c r="CS136" s="370" t="s">
        <v>15</v>
      </c>
      <c r="CT136" s="370"/>
      <c r="CU136" s="371">
        <v>2</v>
      </c>
      <c r="CV136" s="371">
        <v>2</v>
      </c>
      <c r="CW136" s="370">
        <v>6</v>
      </c>
      <c r="CX136" s="494">
        <f>'FPS Pivot Table'!E146</f>
        <v>37.39</v>
      </c>
      <c r="CY136" s="661">
        <f t="shared" si="59"/>
        <v>38.89</v>
      </c>
      <c r="CZ136" s="158"/>
      <c r="DA136" s="313" t="str">
        <f t="shared" si="55"/>
        <v>622</v>
      </c>
      <c r="DB136" s="356">
        <v>43282</v>
      </c>
      <c r="DC136" s="356">
        <v>43282</v>
      </c>
      <c r="DD136" s="371" t="s">
        <v>375</v>
      </c>
      <c r="DE136" s="377"/>
      <c r="DF136" s="377">
        <v>2</v>
      </c>
      <c r="DG136" s="377">
        <v>2</v>
      </c>
      <c r="DH136" s="377">
        <v>6</v>
      </c>
      <c r="DI136" s="494">
        <f>'FPS Pivot Table'!F146</f>
        <v>51.08</v>
      </c>
      <c r="DJ136" s="42"/>
      <c r="DK136" s="313" t="str">
        <f t="shared" si="56"/>
        <v>622</v>
      </c>
      <c r="DL136" s="356">
        <v>43282</v>
      </c>
      <c r="DM136" s="356">
        <v>43282</v>
      </c>
      <c r="DN136" s="371" t="s">
        <v>375</v>
      </c>
      <c r="DO136" s="377"/>
      <c r="DP136" s="377">
        <v>2</v>
      </c>
      <c r="DQ136" s="377">
        <v>2</v>
      </c>
      <c r="DR136" s="377">
        <v>6</v>
      </c>
      <c r="DS136" s="494">
        <f>'FPS Pivot Table'!G146</f>
        <v>53.12</v>
      </c>
      <c r="DT136" s="661">
        <f t="shared" si="60"/>
        <v>55.24</v>
      </c>
      <c r="DU136" s="42"/>
      <c r="DV136" s="42"/>
      <c r="DW136" s="42"/>
      <c r="DX136" s="42"/>
      <c r="DY136" s="42"/>
      <c r="DZ136" s="42"/>
      <c r="EA136" s="42"/>
      <c r="EB136" s="42"/>
      <c r="EC136" s="42"/>
      <c r="ED136" s="42"/>
      <c r="EE136" s="42"/>
      <c r="EF136" s="42"/>
      <c r="EG136" s="42"/>
      <c r="EH136" s="42"/>
      <c r="EI136" s="42"/>
      <c r="EJ136" s="42"/>
      <c r="EK136" s="42"/>
      <c r="EL136" s="42"/>
      <c r="EM136" s="42"/>
      <c r="EN136" s="42"/>
      <c r="EO136" s="42"/>
      <c r="EP136" s="42"/>
      <c r="EQ136" s="42"/>
      <c r="ER136" s="42"/>
      <c r="ES136" s="42"/>
      <c r="ET136" s="42"/>
      <c r="EU136" s="42"/>
      <c r="EV136" s="42"/>
      <c r="EW136" s="42"/>
      <c r="EX136" s="42"/>
      <c r="EY136" s="42"/>
      <c r="EZ136" s="42"/>
      <c r="FA136" s="42"/>
    </row>
    <row r="137" spans="13:157">
      <c r="M137" s="177"/>
      <c r="Q137" s="32"/>
      <c r="AP137" s="386"/>
      <c r="AQ137" s="338" t="s">
        <v>503</v>
      </c>
      <c r="AR137" s="570">
        <v>31</v>
      </c>
      <c r="AS137" s="42"/>
      <c r="AT137" s="42"/>
      <c r="AU137" s="42"/>
      <c r="AV137" s="42"/>
      <c r="AW137" s="42"/>
      <c r="AX137" s="314">
        <v>132</v>
      </c>
      <c r="AY137" s="166" t="s">
        <v>4</v>
      </c>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313" t="str">
        <f t="shared" si="57"/>
        <v>623</v>
      </c>
      <c r="CG137" s="356">
        <v>43282</v>
      </c>
      <c r="CH137" s="356">
        <v>43282</v>
      </c>
      <c r="CI137" s="370" t="s">
        <v>15</v>
      </c>
      <c r="CJ137" s="370"/>
      <c r="CK137" s="371">
        <v>2</v>
      </c>
      <c r="CL137" s="371">
        <v>3</v>
      </c>
      <c r="CM137" s="370">
        <v>6</v>
      </c>
      <c r="CN137" s="494">
        <f>'FPS Pivot Table'!D147</f>
        <v>40.65</v>
      </c>
      <c r="CO137" s="158"/>
      <c r="CP137" s="313" t="str">
        <f t="shared" si="58"/>
        <v>623</v>
      </c>
      <c r="CQ137" s="356">
        <v>43282</v>
      </c>
      <c r="CR137" s="356">
        <v>43282</v>
      </c>
      <c r="CS137" s="370" t="s">
        <v>15</v>
      </c>
      <c r="CT137" s="370"/>
      <c r="CU137" s="371">
        <v>2</v>
      </c>
      <c r="CV137" s="371">
        <v>3</v>
      </c>
      <c r="CW137" s="370">
        <v>6</v>
      </c>
      <c r="CX137" s="494">
        <f>'FPS Pivot Table'!E147</f>
        <v>42.28</v>
      </c>
      <c r="CY137" s="661">
        <f t="shared" si="59"/>
        <v>43.97</v>
      </c>
      <c r="CZ137" s="158"/>
      <c r="DA137" s="313" t="str">
        <f t="shared" si="55"/>
        <v>623</v>
      </c>
      <c r="DB137" s="356">
        <v>43282</v>
      </c>
      <c r="DC137" s="356">
        <v>43282</v>
      </c>
      <c r="DD137" s="371" t="s">
        <v>375</v>
      </c>
      <c r="DE137" s="377"/>
      <c r="DF137" s="377">
        <v>2</v>
      </c>
      <c r="DG137" s="377">
        <v>3</v>
      </c>
      <c r="DH137" s="377">
        <v>6</v>
      </c>
      <c r="DI137" s="494">
        <f>'FPS Pivot Table'!F147</f>
        <v>55.17</v>
      </c>
      <c r="DJ137" s="42"/>
      <c r="DK137" s="313" t="str">
        <f t="shared" si="56"/>
        <v>623</v>
      </c>
      <c r="DL137" s="356">
        <v>43282</v>
      </c>
      <c r="DM137" s="356">
        <v>43282</v>
      </c>
      <c r="DN137" s="371" t="s">
        <v>375</v>
      </c>
      <c r="DO137" s="377"/>
      <c r="DP137" s="377">
        <v>2</v>
      </c>
      <c r="DQ137" s="377">
        <v>3</v>
      </c>
      <c r="DR137" s="377">
        <v>6</v>
      </c>
      <c r="DS137" s="494">
        <f>'FPS Pivot Table'!G147</f>
        <v>57.38</v>
      </c>
      <c r="DT137" s="661">
        <f t="shared" si="60"/>
        <v>59.68</v>
      </c>
      <c r="DU137" s="42"/>
      <c r="DV137" s="42"/>
      <c r="DW137" s="42"/>
      <c r="DX137" s="42"/>
      <c r="DY137" s="42"/>
      <c r="DZ137" s="42"/>
      <c r="EA137" s="42"/>
      <c r="EB137" s="42"/>
      <c r="EC137" s="42"/>
      <c r="ED137" s="42"/>
      <c r="EE137" s="42"/>
      <c r="EF137" s="42"/>
      <c r="EG137" s="42"/>
      <c r="EH137" s="42"/>
      <c r="EI137" s="42"/>
      <c r="EJ137" s="42"/>
      <c r="EK137" s="42"/>
      <c r="EL137" s="42"/>
      <c r="EM137" s="42"/>
      <c r="EN137" s="42"/>
      <c r="EO137" s="42"/>
      <c r="EP137" s="42"/>
      <c r="EQ137" s="42"/>
      <c r="ER137" s="42"/>
      <c r="ES137" s="42"/>
      <c r="ET137" s="42"/>
      <c r="EU137" s="42"/>
      <c r="EV137" s="42"/>
      <c r="EW137" s="42"/>
      <c r="EX137" s="42"/>
      <c r="EY137" s="42"/>
      <c r="EZ137" s="42"/>
      <c r="FA137" s="42"/>
    </row>
    <row r="138" spans="13:157">
      <c r="M138" s="177"/>
      <c r="Q138" s="32"/>
      <c r="AP138" s="386"/>
      <c r="AQ138" s="338" t="s">
        <v>504</v>
      </c>
      <c r="AR138" s="570">
        <v>28</v>
      </c>
      <c r="AS138" s="42"/>
      <c r="AT138" s="42"/>
      <c r="AU138" s="42"/>
      <c r="AV138" s="42"/>
      <c r="AW138" s="42"/>
      <c r="AX138" s="314">
        <v>133</v>
      </c>
      <c r="AY138" s="166" t="s">
        <v>4</v>
      </c>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313" t="str">
        <f t="shared" si="57"/>
        <v>624</v>
      </c>
      <c r="CG138" s="356">
        <v>43282</v>
      </c>
      <c r="CH138" s="356">
        <v>43282</v>
      </c>
      <c r="CI138" s="370" t="s">
        <v>15</v>
      </c>
      <c r="CJ138" s="370"/>
      <c r="CK138" s="371">
        <v>2</v>
      </c>
      <c r="CL138" s="371">
        <v>4</v>
      </c>
      <c r="CM138" s="370">
        <v>6</v>
      </c>
      <c r="CN138" s="494">
        <f>'FPS Pivot Table'!D148</f>
        <v>46.9</v>
      </c>
      <c r="CO138" s="158"/>
      <c r="CP138" s="313" t="str">
        <f t="shared" si="58"/>
        <v>624</v>
      </c>
      <c r="CQ138" s="356">
        <v>43282</v>
      </c>
      <c r="CR138" s="356">
        <v>43282</v>
      </c>
      <c r="CS138" s="370" t="s">
        <v>15</v>
      </c>
      <c r="CT138" s="370"/>
      <c r="CU138" s="371">
        <v>2</v>
      </c>
      <c r="CV138" s="371">
        <v>4</v>
      </c>
      <c r="CW138" s="370">
        <v>6</v>
      </c>
      <c r="CX138" s="494">
        <f>'FPS Pivot Table'!E148</f>
        <v>48.78</v>
      </c>
      <c r="CY138" s="661">
        <f t="shared" si="59"/>
        <v>50.73</v>
      </c>
      <c r="CZ138" s="158"/>
      <c r="DA138" s="313" t="str">
        <f t="shared" si="55"/>
        <v>624</v>
      </c>
      <c r="DB138" s="356">
        <v>43282</v>
      </c>
      <c r="DC138" s="356">
        <v>43282</v>
      </c>
      <c r="DD138" s="371" t="s">
        <v>375</v>
      </c>
      <c r="DE138" s="377"/>
      <c r="DF138" s="377">
        <v>2</v>
      </c>
      <c r="DG138" s="377">
        <v>4</v>
      </c>
      <c r="DH138" s="377">
        <v>6</v>
      </c>
      <c r="DI138" s="494">
        <f>'FPS Pivot Table'!F148</f>
        <v>60.72</v>
      </c>
      <c r="DJ138" s="42"/>
      <c r="DK138" s="313" t="str">
        <f t="shared" si="56"/>
        <v>624</v>
      </c>
      <c r="DL138" s="356">
        <v>43282</v>
      </c>
      <c r="DM138" s="356">
        <v>43282</v>
      </c>
      <c r="DN138" s="371" t="s">
        <v>375</v>
      </c>
      <c r="DO138" s="377"/>
      <c r="DP138" s="377">
        <v>2</v>
      </c>
      <c r="DQ138" s="377">
        <v>4</v>
      </c>
      <c r="DR138" s="377">
        <v>6</v>
      </c>
      <c r="DS138" s="494">
        <f>'FPS Pivot Table'!G148</f>
        <v>63.15</v>
      </c>
      <c r="DT138" s="661">
        <f t="shared" si="60"/>
        <v>65.680000000000007</v>
      </c>
      <c r="DU138" s="42"/>
      <c r="DV138" s="42"/>
      <c r="DW138" s="42"/>
      <c r="DX138" s="42"/>
      <c r="DY138" s="42"/>
      <c r="DZ138" s="42"/>
      <c r="EA138" s="42"/>
      <c r="EB138" s="42"/>
      <c r="EC138" s="42"/>
      <c r="ED138" s="42"/>
      <c r="EE138" s="42"/>
      <c r="EF138" s="42"/>
      <c r="EG138" s="42"/>
      <c r="EH138" s="42"/>
      <c r="EI138" s="42"/>
      <c r="EJ138" s="42"/>
      <c r="EK138" s="42"/>
      <c r="EL138" s="42"/>
      <c r="EM138" s="42"/>
      <c r="EN138" s="42"/>
      <c r="EO138" s="42"/>
      <c r="EP138" s="42"/>
      <c r="EQ138" s="42"/>
      <c r="ER138" s="42"/>
      <c r="ES138" s="42"/>
      <c r="ET138" s="42"/>
      <c r="EU138" s="42"/>
      <c r="EV138" s="42"/>
      <c r="EW138" s="42"/>
      <c r="EX138" s="42"/>
      <c r="EY138" s="42"/>
      <c r="EZ138" s="42"/>
      <c r="FA138" s="42"/>
    </row>
    <row r="139" spans="13:157">
      <c r="M139" s="177"/>
      <c r="Q139" s="32"/>
      <c r="AP139" s="386"/>
      <c r="AQ139" s="338" t="s">
        <v>505</v>
      </c>
      <c r="AR139" s="570">
        <v>31</v>
      </c>
      <c r="AS139" s="42"/>
      <c r="AT139" s="42"/>
      <c r="AU139" s="42"/>
      <c r="AV139" s="42"/>
      <c r="AW139" s="42"/>
      <c r="AX139" s="314">
        <v>134</v>
      </c>
      <c r="AY139" s="166" t="s">
        <v>4</v>
      </c>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313" t="str">
        <f t="shared" si="57"/>
        <v>625</v>
      </c>
      <c r="CG139" s="356">
        <v>43282</v>
      </c>
      <c r="CH139" s="356">
        <v>43282</v>
      </c>
      <c r="CI139" s="370" t="s">
        <v>15</v>
      </c>
      <c r="CJ139" s="370"/>
      <c r="CK139" s="371">
        <v>2</v>
      </c>
      <c r="CL139" s="371">
        <v>5</v>
      </c>
      <c r="CM139" s="370">
        <v>6</v>
      </c>
      <c r="CN139" s="494">
        <f>'FPS Pivot Table'!D149</f>
        <v>52.46</v>
      </c>
      <c r="CO139" s="158"/>
      <c r="CP139" s="313" t="str">
        <f t="shared" si="58"/>
        <v>625</v>
      </c>
      <c r="CQ139" s="356">
        <v>43282</v>
      </c>
      <c r="CR139" s="356">
        <v>43282</v>
      </c>
      <c r="CS139" s="370" t="s">
        <v>15</v>
      </c>
      <c r="CT139" s="370"/>
      <c r="CU139" s="371">
        <v>2</v>
      </c>
      <c r="CV139" s="371">
        <v>5</v>
      </c>
      <c r="CW139" s="370">
        <v>6</v>
      </c>
      <c r="CX139" s="494">
        <f>'FPS Pivot Table'!E149</f>
        <v>54.56</v>
      </c>
      <c r="CY139" s="661">
        <f t="shared" si="59"/>
        <v>56.74</v>
      </c>
      <c r="CZ139" s="158"/>
      <c r="DA139" s="313" t="str">
        <f t="shared" si="55"/>
        <v>625</v>
      </c>
      <c r="DB139" s="356">
        <v>43282</v>
      </c>
      <c r="DC139" s="356">
        <v>43282</v>
      </c>
      <c r="DD139" s="371" t="s">
        <v>375</v>
      </c>
      <c r="DE139" s="371"/>
      <c r="DF139" s="371">
        <v>2</v>
      </c>
      <c r="DG139" s="371">
        <v>5</v>
      </c>
      <c r="DH139" s="371">
        <v>6</v>
      </c>
      <c r="DI139" s="494">
        <f>'FPS Pivot Table'!F149</f>
        <v>65.58</v>
      </c>
      <c r="DJ139" s="42"/>
      <c r="DK139" s="313" t="str">
        <f t="shared" si="56"/>
        <v>625</v>
      </c>
      <c r="DL139" s="356">
        <v>43282</v>
      </c>
      <c r="DM139" s="356">
        <v>43282</v>
      </c>
      <c r="DN139" s="371" t="s">
        <v>375</v>
      </c>
      <c r="DO139" s="371"/>
      <c r="DP139" s="371">
        <v>2</v>
      </c>
      <c r="DQ139" s="371">
        <v>5</v>
      </c>
      <c r="DR139" s="371">
        <v>6</v>
      </c>
      <c r="DS139" s="494">
        <f>'FPS Pivot Table'!G149</f>
        <v>68.2</v>
      </c>
      <c r="DT139" s="661">
        <f t="shared" si="60"/>
        <v>70.930000000000007</v>
      </c>
      <c r="DU139" s="42"/>
      <c r="DV139" s="42"/>
      <c r="DW139" s="42"/>
      <c r="DX139" s="42"/>
      <c r="DY139" s="42"/>
      <c r="DZ139" s="42"/>
      <c r="EA139" s="42"/>
      <c r="EB139" s="42"/>
      <c r="EC139" s="42"/>
      <c r="ED139" s="42"/>
      <c r="EE139" s="42"/>
      <c r="EF139" s="42"/>
      <c r="EG139" s="42"/>
      <c r="EH139" s="42"/>
      <c r="EI139" s="42"/>
      <c r="EJ139" s="42"/>
      <c r="EK139" s="42"/>
      <c r="EL139" s="42"/>
      <c r="EM139" s="42"/>
      <c r="EN139" s="42"/>
      <c r="EO139" s="42"/>
      <c r="EP139" s="42"/>
      <c r="EQ139" s="42"/>
      <c r="ER139" s="42"/>
      <c r="ES139" s="42"/>
      <c r="ET139" s="42"/>
      <c r="EU139" s="42"/>
      <c r="EV139" s="42"/>
      <c r="EW139" s="42"/>
      <c r="EX139" s="42"/>
      <c r="EY139" s="42"/>
      <c r="EZ139" s="42"/>
      <c r="FA139" s="42"/>
    </row>
    <row r="140" spans="13:157">
      <c r="M140" s="177"/>
      <c r="Q140" s="32"/>
      <c r="AP140" s="386"/>
      <c r="AQ140" s="338" t="s">
        <v>506</v>
      </c>
      <c r="AR140" s="570">
        <v>30</v>
      </c>
      <c r="AS140" s="42"/>
      <c r="AT140" s="42"/>
      <c r="AU140" s="42"/>
      <c r="AV140" s="42"/>
      <c r="AW140" s="42"/>
      <c r="AX140" s="314">
        <v>135</v>
      </c>
      <c r="AY140" s="166" t="s">
        <v>4</v>
      </c>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313" t="str">
        <f t="shared" si="57"/>
        <v>631</v>
      </c>
      <c r="CG140" s="356">
        <v>43282</v>
      </c>
      <c r="CH140" s="356">
        <v>43282</v>
      </c>
      <c r="CI140" s="370" t="s">
        <v>15</v>
      </c>
      <c r="CJ140" s="370"/>
      <c r="CK140" s="371">
        <v>3</v>
      </c>
      <c r="CL140" s="371">
        <v>1</v>
      </c>
      <c r="CM140" s="370">
        <v>6</v>
      </c>
      <c r="CN140" s="494">
        <f>'FPS Pivot Table'!D150</f>
        <v>43.58</v>
      </c>
      <c r="CO140" s="158"/>
      <c r="CP140" s="313" t="str">
        <f t="shared" si="58"/>
        <v>631</v>
      </c>
      <c r="CQ140" s="356">
        <v>43282</v>
      </c>
      <c r="CR140" s="356">
        <v>43282</v>
      </c>
      <c r="CS140" s="370" t="s">
        <v>15</v>
      </c>
      <c r="CT140" s="370"/>
      <c r="CU140" s="371">
        <v>3</v>
      </c>
      <c r="CV140" s="371">
        <v>1</v>
      </c>
      <c r="CW140" s="370">
        <v>6</v>
      </c>
      <c r="CX140" s="494">
        <f>'FPS Pivot Table'!E150</f>
        <v>45.32</v>
      </c>
      <c r="CY140" s="661">
        <f t="shared" si="59"/>
        <v>47.13</v>
      </c>
      <c r="CZ140" s="158"/>
      <c r="DA140" s="313" t="str">
        <f t="shared" si="55"/>
        <v>631</v>
      </c>
      <c r="DB140" s="356">
        <v>43282</v>
      </c>
      <c r="DC140" s="356">
        <v>43282</v>
      </c>
      <c r="DD140" s="371" t="s">
        <v>375</v>
      </c>
      <c r="DE140" s="371"/>
      <c r="DF140" s="371">
        <v>3</v>
      </c>
      <c r="DG140" s="371">
        <v>1</v>
      </c>
      <c r="DH140" s="371">
        <v>6</v>
      </c>
      <c r="DI140" s="494">
        <f>'FPS Pivot Table'!F150</f>
        <v>82.74</v>
      </c>
      <c r="DJ140" s="42"/>
      <c r="DK140" s="313" t="str">
        <f t="shared" si="56"/>
        <v>631</v>
      </c>
      <c r="DL140" s="356">
        <v>43282</v>
      </c>
      <c r="DM140" s="356">
        <v>43282</v>
      </c>
      <c r="DN140" s="371" t="s">
        <v>375</v>
      </c>
      <c r="DO140" s="371"/>
      <c r="DP140" s="371">
        <v>3</v>
      </c>
      <c r="DQ140" s="371">
        <v>1</v>
      </c>
      <c r="DR140" s="371">
        <v>6</v>
      </c>
      <c r="DS140" s="494">
        <f>'FPS Pivot Table'!G150</f>
        <v>86.05</v>
      </c>
      <c r="DT140" s="661">
        <f t="shared" si="60"/>
        <v>89.49</v>
      </c>
      <c r="DU140" s="42"/>
      <c r="DV140" s="42"/>
      <c r="DW140" s="42"/>
      <c r="DX140" s="42"/>
      <c r="DY140" s="42"/>
      <c r="DZ140" s="42"/>
      <c r="EA140" s="42"/>
      <c r="EB140" s="42"/>
      <c r="EC140" s="42"/>
      <c r="ED140" s="42"/>
      <c r="EE140" s="42"/>
      <c r="EF140" s="42"/>
      <c r="EG140" s="42"/>
      <c r="EH140" s="42"/>
      <c r="EI140" s="42"/>
      <c r="EJ140" s="42"/>
      <c r="EK140" s="42"/>
      <c r="EL140" s="42"/>
      <c r="EM140" s="42"/>
      <c r="EN140" s="42"/>
      <c r="EO140" s="42"/>
      <c r="EP140" s="42"/>
      <c r="EQ140" s="42"/>
      <c r="ER140" s="42"/>
      <c r="ES140" s="42"/>
      <c r="ET140" s="42"/>
      <c r="EU140" s="42"/>
      <c r="EV140" s="42"/>
      <c r="EW140" s="42"/>
      <c r="EX140" s="42"/>
      <c r="EY140" s="42"/>
      <c r="EZ140" s="42"/>
      <c r="FA140" s="42"/>
    </row>
    <row r="141" spans="13:157">
      <c r="M141" s="177"/>
      <c r="AP141" s="386"/>
      <c r="AQ141" s="338" t="s">
        <v>507</v>
      </c>
      <c r="AR141" s="570">
        <v>31</v>
      </c>
      <c r="AS141" s="42"/>
      <c r="AT141" s="42"/>
      <c r="AU141" s="42"/>
      <c r="AV141" s="42"/>
      <c r="AW141" s="42"/>
      <c r="AX141" s="314">
        <v>136</v>
      </c>
      <c r="AY141" s="166" t="s">
        <v>4</v>
      </c>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313" t="str">
        <f t="shared" si="57"/>
        <v>632</v>
      </c>
      <c r="CG141" s="356">
        <v>43282</v>
      </c>
      <c r="CH141" s="356">
        <v>43282</v>
      </c>
      <c r="CI141" s="370" t="s">
        <v>15</v>
      </c>
      <c r="CJ141" s="370"/>
      <c r="CK141" s="371">
        <v>3</v>
      </c>
      <c r="CL141" s="371">
        <v>2</v>
      </c>
      <c r="CM141" s="370">
        <v>6</v>
      </c>
      <c r="CN141" s="494">
        <f>'FPS Pivot Table'!D151</f>
        <v>46.48</v>
      </c>
      <c r="CO141" s="158"/>
      <c r="CP141" s="313" t="str">
        <f t="shared" si="58"/>
        <v>632</v>
      </c>
      <c r="CQ141" s="356">
        <v>43282</v>
      </c>
      <c r="CR141" s="356">
        <v>43282</v>
      </c>
      <c r="CS141" s="370" t="s">
        <v>15</v>
      </c>
      <c r="CT141" s="370"/>
      <c r="CU141" s="371">
        <v>3</v>
      </c>
      <c r="CV141" s="371">
        <v>2</v>
      </c>
      <c r="CW141" s="370">
        <v>6</v>
      </c>
      <c r="CX141" s="494">
        <f>'FPS Pivot Table'!E151</f>
        <v>48.34</v>
      </c>
      <c r="CY141" s="661">
        <f t="shared" si="59"/>
        <v>50.27</v>
      </c>
      <c r="CZ141" s="158"/>
      <c r="DA141" s="313" t="str">
        <f t="shared" si="55"/>
        <v>632</v>
      </c>
      <c r="DB141" s="356">
        <v>43282</v>
      </c>
      <c r="DC141" s="356">
        <v>43282</v>
      </c>
      <c r="DD141" s="371" t="s">
        <v>375</v>
      </c>
      <c r="DE141" s="371"/>
      <c r="DF141" s="371">
        <v>3</v>
      </c>
      <c r="DG141" s="371">
        <v>2</v>
      </c>
      <c r="DH141" s="371">
        <v>6</v>
      </c>
      <c r="DI141" s="494">
        <f>'FPS Pivot Table'!F151</f>
        <v>85.31</v>
      </c>
      <c r="DJ141" s="42"/>
      <c r="DK141" s="313" t="str">
        <f t="shared" si="56"/>
        <v>632</v>
      </c>
      <c r="DL141" s="356">
        <v>43282</v>
      </c>
      <c r="DM141" s="356">
        <v>43282</v>
      </c>
      <c r="DN141" s="371" t="s">
        <v>375</v>
      </c>
      <c r="DO141" s="371"/>
      <c r="DP141" s="371">
        <v>3</v>
      </c>
      <c r="DQ141" s="371">
        <v>2</v>
      </c>
      <c r="DR141" s="371">
        <v>6</v>
      </c>
      <c r="DS141" s="494">
        <f>'FPS Pivot Table'!G151</f>
        <v>88.72</v>
      </c>
      <c r="DT141" s="661">
        <f t="shared" si="60"/>
        <v>92.27</v>
      </c>
      <c r="DU141" s="42"/>
      <c r="DV141" s="42"/>
      <c r="DW141" s="42"/>
      <c r="DX141" s="42"/>
      <c r="DY141" s="42"/>
      <c r="DZ141" s="42"/>
      <c r="EA141" s="42"/>
      <c r="EB141" s="42"/>
      <c r="EC141" s="42"/>
      <c r="ED141" s="42"/>
      <c r="EE141" s="42"/>
      <c r="EF141" s="42"/>
      <c r="EG141" s="42"/>
      <c r="EH141" s="42"/>
      <c r="EI141" s="42"/>
      <c r="EJ141" s="42"/>
      <c r="EK141" s="42"/>
      <c r="EL141" s="42"/>
      <c r="EM141" s="42"/>
      <c r="EN141" s="42"/>
      <c r="EO141" s="42"/>
      <c r="EP141" s="42"/>
      <c r="EQ141" s="42"/>
      <c r="ER141" s="42"/>
      <c r="ES141" s="42"/>
      <c r="ET141" s="42"/>
      <c r="EU141" s="42"/>
      <c r="EV141" s="42"/>
      <c r="EW141" s="42"/>
      <c r="EX141" s="42"/>
      <c r="EY141" s="42"/>
      <c r="EZ141" s="42"/>
      <c r="FA141" s="42"/>
    </row>
    <row r="142" spans="13:157" ht="15" thickBot="1">
      <c r="M142" s="177"/>
      <c r="AP142" s="386"/>
      <c r="AQ142" s="339" t="s">
        <v>508</v>
      </c>
      <c r="AR142" s="571">
        <v>30</v>
      </c>
      <c r="AS142" s="42"/>
      <c r="AT142" s="42"/>
      <c r="AU142" s="42"/>
      <c r="AV142" s="42"/>
      <c r="AW142" s="42"/>
      <c r="AX142" s="314">
        <v>137</v>
      </c>
      <c r="AY142" s="166" t="s">
        <v>4</v>
      </c>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313" t="str">
        <f t="shared" si="57"/>
        <v>633</v>
      </c>
      <c r="CG142" s="356">
        <v>43282</v>
      </c>
      <c r="CH142" s="356">
        <v>43282</v>
      </c>
      <c r="CI142" s="370" t="s">
        <v>15</v>
      </c>
      <c r="CJ142" s="370"/>
      <c r="CK142" s="371">
        <v>3</v>
      </c>
      <c r="CL142" s="371">
        <v>3</v>
      </c>
      <c r="CM142" s="370">
        <v>6</v>
      </c>
      <c r="CN142" s="494">
        <f>'FPS Pivot Table'!D152</f>
        <v>51.15</v>
      </c>
      <c r="CO142" s="158"/>
      <c r="CP142" s="313" t="str">
        <f t="shared" si="58"/>
        <v>633</v>
      </c>
      <c r="CQ142" s="356">
        <v>43282</v>
      </c>
      <c r="CR142" s="356">
        <v>43282</v>
      </c>
      <c r="CS142" s="370" t="s">
        <v>15</v>
      </c>
      <c r="CT142" s="370"/>
      <c r="CU142" s="371">
        <v>3</v>
      </c>
      <c r="CV142" s="371">
        <v>3</v>
      </c>
      <c r="CW142" s="370">
        <v>6</v>
      </c>
      <c r="CX142" s="494">
        <f>'FPS Pivot Table'!E152</f>
        <v>53.2</v>
      </c>
      <c r="CY142" s="661">
        <f t="shared" si="59"/>
        <v>55.33</v>
      </c>
      <c r="CZ142" s="158"/>
      <c r="DA142" s="313" t="str">
        <f t="shared" si="55"/>
        <v>633</v>
      </c>
      <c r="DB142" s="356">
        <v>43282</v>
      </c>
      <c r="DC142" s="356">
        <v>43282</v>
      </c>
      <c r="DD142" s="371" t="s">
        <v>375</v>
      </c>
      <c r="DE142" s="371"/>
      <c r="DF142" s="371">
        <v>3</v>
      </c>
      <c r="DG142" s="371">
        <v>3</v>
      </c>
      <c r="DH142" s="371">
        <v>6</v>
      </c>
      <c r="DI142" s="494">
        <f>'FPS Pivot Table'!F152</f>
        <v>89.36</v>
      </c>
      <c r="DJ142" s="42"/>
      <c r="DK142" s="313" t="str">
        <f t="shared" si="56"/>
        <v>633</v>
      </c>
      <c r="DL142" s="356">
        <v>43282</v>
      </c>
      <c r="DM142" s="356">
        <v>43282</v>
      </c>
      <c r="DN142" s="371" t="s">
        <v>375</v>
      </c>
      <c r="DO142" s="371"/>
      <c r="DP142" s="371">
        <v>3</v>
      </c>
      <c r="DQ142" s="371">
        <v>3</v>
      </c>
      <c r="DR142" s="371">
        <v>6</v>
      </c>
      <c r="DS142" s="494">
        <f>'FPS Pivot Table'!G152</f>
        <v>92.93</v>
      </c>
      <c r="DT142" s="661">
        <f t="shared" si="60"/>
        <v>96.65</v>
      </c>
      <c r="DU142" s="42"/>
      <c r="DV142" s="42"/>
      <c r="DW142" s="42"/>
      <c r="DX142" s="42"/>
      <c r="DY142" s="42"/>
      <c r="DZ142" s="42"/>
      <c r="EA142" s="42"/>
      <c r="EB142" s="42"/>
      <c r="EC142" s="42"/>
      <c r="ED142" s="42"/>
      <c r="EE142" s="42"/>
      <c r="EF142" s="42"/>
      <c r="EG142" s="42"/>
      <c r="EH142" s="42"/>
      <c r="EI142" s="42"/>
      <c r="EJ142" s="42"/>
      <c r="EK142" s="42"/>
      <c r="EL142" s="42"/>
      <c r="EM142" s="42"/>
      <c r="EN142" s="42"/>
      <c r="EO142" s="42"/>
      <c r="EP142" s="42"/>
      <c r="EQ142" s="42"/>
      <c r="ER142" s="42"/>
      <c r="ES142" s="42"/>
      <c r="ET142" s="42"/>
      <c r="EU142" s="42"/>
      <c r="EV142" s="42"/>
      <c r="EW142" s="42"/>
      <c r="EX142" s="42"/>
      <c r="EY142" s="42"/>
      <c r="EZ142" s="42"/>
      <c r="FA142" s="42"/>
    </row>
    <row r="143" spans="13:157">
      <c r="M143" s="177"/>
      <c r="AP143" s="386"/>
      <c r="AQ143" s="42"/>
      <c r="AR143" s="42"/>
      <c r="AS143" s="42"/>
      <c r="AT143" s="42"/>
      <c r="AU143" s="42"/>
      <c r="AV143" s="42"/>
      <c r="AW143" s="42"/>
      <c r="AX143" s="314">
        <v>138</v>
      </c>
      <c r="AY143" s="166" t="s">
        <v>4</v>
      </c>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313" t="str">
        <f t="shared" si="57"/>
        <v>634</v>
      </c>
      <c r="CG143" s="356">
        <v>43282</v>
      </c>
      <c r="CH143" s="356">
        <v>43282</v>
      </c>
      <c r="CI143" s="370" t="s">
        <v>15</v>
      </c>
      <c r="CJ143" s="370"/>
      <c r="CK143" s="371">
        <v>3</v>
      </c>
      <c r="CL143" s="371">
        <v>4</v>
      </c>
      <c r="CM143" s="370">
        <v>6</v>
      </c>
      <c r="CN143" s="494">
        <f>'FPS Pivot Table'!D153</f>
        <v>57.42</v>
      </c>
      <c r="CO143" s="158"/>
      <c r="CP143" s="313" t="str">
        <f t="shared" si="58"/>
        <v>634</v>
      </c>
      <c r="CQ143" s="356">
        <v>43282</v>
      </c>
      <c r="CR143" s="356">
        <v>43282</v>
      </c>
      <c r="CS143" s="370" t="s">
        <v>15</v>
      </c>
      <c r="CT143" s="370"/>
      <c r="CU143" s="371">
        <v>3</v>
      </c>
      <c r="CV143" s="371">
        <v>4</v>
      </c>
      <c r="CW143" s="370">
        <v>6</v>
      </c>
      <c r="CX143" s="494">
        <f>'FPS Pivot Table'!E153</f>
        <v>59.72</v>
      </c>
      <c r="CY143" s="661">
        <f t="shared" si="59"/>
        <v>62.11</v>
      </c>
      <c r="CZ143" s="158"/>
      <c r="DA143" s="313" t="str">
        <f t="shared" si="55"/>
        <v>634</v>
      </c>
      <c r="DB143" s="356">
        <v>43282</v>
      </c>
      <c r="DC143" s="356">
        <v>43282</v>
      </c>
      <c r="DD143" s="371" t="s">
        <v>375</v>
      </c>
      <c r="DE143" s="371"/>
      <c r="DF143" s="371">
        <v>3</v>
      </c>
      <c r="DG143" s="371">
        <v>4</v>
      </c>
      <c r="DH143" s="371">
        <v>6</v>
      </c>
      <c r="DI143" s="494">
        <f>'FPS Pivot Table'!F153</f>
        <v>94.89</v>
      </c>
      <c r="DJ143" s="42"/>
      <c r="DK143" s="313" t="str">
        <f t="shared" si="56"/>
        <v>634</v>
      </c>
      <c r="DL143" s="356">
        <v>43282</v>
      </c>
      <c r="DM143" s="356">
        <v>43282</v>
      </c>
      <c r="DN143" s="371" t="s">
        <v>375</v>
      </c>
      <c r="DO143" s="371"/>
      <c r="DP143" s="371">
        <v>3</v>
      </c>
      <c r="DQ143" s="371">
        <v>4</v>
      </c>
      <c r="DR143" s="371">
        <v>6</v>
      </c>
      <c r="DS143" s="494">
        <f>'FPS Pivot Table'!G153</f>
        <v>98.69</v>
      </c>
      <c r="DT143" s="661">
        <f t="shared" si="60"/>
        <v>102.64</v>
      </c>
      <c r="DU143" s="42"/>
      <c r="DV143" s="42"/>
      <c r="DW143" s="42"/>
      <c r="DX143" s="42"/>
      <c r="DY143" s="42"/>
      <c r="DZ143" s="42"/>
      <c r="EA143" s="42"/>
      <c r="EB143" s="42"/>
      <c r="EC143" s="42"/>
      <c r="ED143" s="42"/>
      <c r="EE143" s="42"/>
      <c r="EF143" s="42"/>
      <c r="EG143" s="42"/>
      <c r="EH143" s="42"/>
      <c r="EI143" s="42"/>
      <c r="EJ143" s="42"/>
      <c r="EK143" s="42"/>
      <c r="EL143" s="42"/>
      <c r="EM143" s="42"/>
      <c r="EN143" s="42"/>
      <c r="EO143" s="42"/>
      <c r="EP143" s="42"/>
      <c r="EQ143" s="42"/>
      <c r="ER143" s="42"/>
      <c r="ES143" s="42"/>
      <c r="ET143" s="42"/>
      <c r="EU143" s="42"/>
      <c r="EV143" s="42"/>
      <c r="EW143" s="42"/>
      <c r="EX143" s="42"/>
      <c r="EY143" s="42"/>
      <c r="EZ143" s="42"/>
      <c r="FA143" s="42"/>
    </row>
    <row r="144" spans="13:157" ht="15" thickBot="1">
      <c r="M144" s="177"/>
      <c r="AP144" s="42"/>
      <c r="AQ144" s="42"/>
      <c r="AR144" s="42"/>
      <c r="AS144" s="42"/>
      <c r="AT144" s="42"/>
      <c r="AU144" s="42"/>
      <c r="AV144" s="42"/>
      <c r="AW144" s="42"/>
      <c r="AX144" s="314">
        <v>139</v>
      </c>
      <c r="AY144" s="166" t="s">
        <v>4</v>
      </c>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313" t="str">
        <f t="shared" si="57"/>
        <v>635</v>
      </c>
      <c r="CG144" s="356">
        <v>43282</v>
      </c>
      <c r="CH144" s="356">
        <v>43282</v>
      </c>
      <c r="CI144" s="370" t="s">
        <v>15</v>
      </c>
      <c r="CJ144" s="370"/>
      <c r="CK144" s="371">
        <v>3</v>
      </c>
      <c r="CL144" s="371">
        <v>5</v>
      </c>
      <c r="CM144" s="370">
        <v>6</v>
      </c>
      <c r="CN144" s="494">
        <f>'FPS Pivot Table'!D154</f>
        <v>62.97</v>
      </c>
      <c r="CO144" s="158"/>
      <c r="CP144" s="313" t="str">
        <f t="shared" si="58"/>
        <v>635</v>
      </c>
      <c r="CQ144" s="356">
        <v>43282</v>
      </c>
      <c r="CR144" s="356">
        <v>43282</v>
      </c>
      <c r="CS144" s="370" t="s">
        <v>15</v>
      </c>
      <c r="CT144" s="370"/>
      <c r="CU144" s="371">
        <v>3</v>
      </c>
      <c r="CV144" s="371">
        <v>5</v>
      </c>
      <c r="CW144" s="370">
        <v>6</v>
      </c>
      <c r="CX144" s="494">
        <f>'FPS Pivot Table'!E154</f>
        <v>65.489999999999995</v>
      </c>
      <c r="CY144" s="661">
        <f t="shared" si="59"/>
        <v>68.11</v>
      </c>
      <c r="CZ144" s="158"/>
      <c r="DA144" s="313" t="str">
        <f t="shared" si="55"/>
        <v>635</v>
      </c>
      <c r="DB144" s="356">
        <v>43282</v>
      </c>
      <c r="DC144" s="356">
        <v>43282</v>
      </c>
      <c r="DD144" s="371" t="s">
        <v>375</v>
      </c>
      <c r="DE144" s="371"/>
      <c r="DF144" s="371">
        <v>3</v>
      </c>
      <c r="DG144" s="371">
        <v>5</v>
      </c>
      <c r="DH144" s="371">
        <v>6</v>
      </c>
      <c r="DI144" s="494">
        <f>'FPS Pivot Table'!F154</f>
        <v>99.8</v>
      </c>
      <c r="DJ144" s="42"/>
      <c r="DK144" s="313" t="str">
        <f t="shared" si="56"/>
        <v>635</v>
      </c>
      <c r="DL144" s="356">
        <v>43282</v>
      </c>
      <c r="DM144" s="356">
        <v>43282</v>
      </c>
      <c r="DN144" s="371" t="s">
        <v>375</v>
      </c>
      <c r="DO144" s="371"/>
      <c r="DP144" s="371">
        <v>3</v>
      </c>
      <c r="DQ144" s="371">
        <v>5</v>
      </c>
      <c r="DR144" s="371">
        <v>6</v>
      </c>
      <c r="DS144" s="494">
        <f>'FPS Pivot Table'!G154</f>
        <v>103.79</v>
      </c>
      <c r="DT144" s="661">
        <f t="shared" si="60"/>
        <v>107.94</v>
      </c>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row>
    <row r="145" spans="13:157" ht="15" thickBot="1">
      <c r="M145" s="177"/>
      <c r="AP145" s="303" t="s">
        <v>457</v>
      </c>
      <c r="AQ145" s="42"/>
      <c r="AR145" s="42"/>
      <c r="AS145" s="42"/>
      <c r="AT145" s="42"/>
      <c r="AU145" s="42"/>
      <c r="AV145" s="42"/>
      <c r="AW145" s="42"/>
      <c r="AX145" s="314">
        <v>140</v>
      </c>
      <c r="AY145" s="166" t="s">
        <v>4</v>
      </c>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313" t="str">
        <f t="shared" si="57"/>
        <v>641</v>
      </c>
      <c r="CG145" s="356">
        <v>43282</v>
      </c>
      <c r="CH145" s="356">
        <v>43282</v>
      </c>
      <c r="CI145" s="370" t="s">
        <v>15</v>
      </c>
      <c r="CJ145" s="370"/>
      <c r="CK145" s="371">
        <v>4</v>
      </c>
      <c r="CL145" s="371">
        <v>1</v>
      </c>
      <c r="CM145" s="370">
        <v>6</v>
      </c>
      <c r="CN145" s="494">
        <f>'FPS Pivot Table'!D155</f>
        <v>54.37</v>
      </c>
      <c r="CO145" s="158"/>
      <c r="CP145" s="313" t="str">
        <f t="shared" si="58"/>
        <v>641</v>
      </c>
      <c r="CQ145" s="356">
        <v>43282</v>
      </c>
      <c r="CR145" s="356">
        <v>43282</v>
      </c>
      <c r="CS145" s="370" t="s">
        <v>15</v>
      </c>
      <c r="CT145" s="370"/>
      <c r="CU145" s="371">
        <v>4</v>
      </c>
      <c r="CV145" s="371">
        <v>1</v>
      </c>
      <c r="CW145" s="370">
        <v>6</v>
      </c>
      <c r="CX145" s="494">
        <f>'FPS Pivot Table'!E155</f>
        <v>56.54</v>
      </c>
      <c r="CY145" s="661">
        <f t="shared" si="59"/>
        <v>58.8</v>
      </c>
      <c r="CZ145" s="158"/>
      <c r="DA145" s="313" t="str">
        <f t="shared" si="55"/>
        <v>641</v>
      </c>
      <c r="DB145" s="356">
        <v>43282</v>
      </c>
      <c r="DC145" s="356">
        <v>43282</v>
      </c>
      <c r="DD145" s="371" t="s">
        <v>375</v>
      </c>
      <c r="DE145" s="371"/>
      <c r="DF145" s="371">
        <v>4</v>
      </c>
      <c r="DG145" s="371">
        <v>1</v>
      </c>
      <c r="DH145" s="371">
        <v>6</v>
      </c>
      <c r="DI145" s="494">
        <f>'FPS Pivot Table'!F155</f>
        <v>134.03</v>
      </c>
      <c r="DJ145" s="42"/>
      <c r="DK145" s="313" t="str">
        <f t="shared" si="56"/>
        <v>641</v>
      </c>
      <c r="DL145" s="356">
        <v>43282</v>
      </c>
      <c r="DM145" s="356">
        <v>43282</v>
      </c>
      <c r="DN145" s="371" t="s">
        <v>375</v>
      </c>
      <c r="DO145" s="371"/>
      <c r="DP145" s="371">
        <v>4</v>
      </c>
      <c r="DQ145" s="371">
        <v>1</v>
      </c>
      <c r="DR145" s="371">
        <v>6</v>
      </c>
      <c r="DS145" s="494">
        <f>'FPS Pivot Table'!G155</f>
        <v>139.38999999999999</v>
      </c>
      <c r="DT145" s="661">
        <f t="shared" si="60"/>
        <v>144.97</v>
      </c>
      <c r="DU145" s="42"/>
      <c r="DV145" s="42"/>
      <c r="DW145" s="42"/>
      <c r="DX145" s="42"/>
      <c r="DY145" s="42"/>
      <c r="DZ145" s="42"/>
      <c r="EA145" s="42"/>
      <c r="EB145" s="42"/>
      <c r="EC145" s="42"/>
      <c r="ED145" s="42"/>
      <c r="EE145" s="42"/>
      <c r="EF145" s="42"/>
      <c r="EG145" s="42"/>
      <c r="EH145" s="42"/>
      <c r="EI145" s="42"/>
      <c r="EJ145" s="42"/>
      <c r="EK145" s="42"/>
      <c r="EL145" s="42"/>
      <c r="EM145" s="42"/>
      <c r="EN145" s="42"/>
      <c r="EO145" s="42"/>
      <c r="EP145" s="42"/>
      <c r="EQ145" s="42"/>
      <c r="ER145" s="42"/>
      <c r="ES145" s="42"/>
      <c r="ET145" s="42"/>
      <c r="EU145" s="42"/>
      <c r="EV145" s="42"/>
      <c r="EW145" s="42"/>
      <c r="EX145" s="42"/>
      <c r="EY145" s="42"/>
      <c r="EZ145" s="42"/>
      <c r="FA145" s="42"/>
    </row>
    <row r="146" spans="13:157">
      <c r="M146" s="177"/>
      <c r="AP146" s="341" t="s">
        <v>140</v>
      </c>
      <c r="AQ146" s="342" t="s">
        <v>295</v>
      </c>
      <c r="AR146" s="42"/>
      <c r="AS146" s="42"/>
      <c r="AT146" s="42"/>
      <c r="AU146" s="42"/>
      <c r="AV146" s="42"/>
      <c r="AW146" s="42"/>
      <c r="AX146" s="314">
        <v>141</v>
      </c>
      <c r="AY146" s="166" t="s">
        <v>4</v>
      </c>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313" t="str">
        <f t="shared" si="57"/>
        <v>642</v>
      </c>
      <c r="CG146" s="356">
        <v>43282</v>
      </c>
      <c r="CH146" s="356">
        <v>43282</v>
      </c>
      <c r="CI146" s="370" t="s">
        <v>15</v>
      </c>
      <c r="CJ146" s="370"/>
      <c r="CK146" s="371">
        <v>4</v>
      </c>
      <c r="CL146" s="371">
        <v>2</v>
      </c>
      <c r="CM146" s="370">
        <v>6</v>
      </c>
      <c r="CN146" s="494">
        <f>'FPS Pivot Table'!D156</f>
        <v>57.27</v>
      </c>
      <c r="CO146" s="158"/>
      <c r="CP146" s="313" t="str">
        <f t="shared" si="58"/>
        <v>642</v>
      </c>
      <c r="CQ146" s="356">
        <v>43282</v>
      </c>
      <c r="CR146" s="356">
        <v>43282</v>
      </c>
      <c r="CS146" s="370" t="s">
        <v>15</v>
      </c>
      <c r="CT146" s="370"/>
      <c r="CU146" s="371">
        <v>4</v>
      </c>
      <c r="CV146" s="371">
        <v>2</v>
      </c>
      <c r="CW146" s="370">
        <v>6</v>
      </c>
      <c r="CX146" s="494">
        <f>'FPS Pivot Table'!E156</f>
        <v>59.56</v>
      </c>
      <c r="CY146" s="661">
        <f t="shared" si="59"/>
        <v>61.94</v>
      </c>
      <c r="CZ146" s="158"/>
      <c r="DA146" s="313" t="str">
        <f t="shared" si="55"/>
        <v>642</v>
      </c>
      <c r="DB146" s="356">
        <v>43282</v>
      </c>
      <c r="DC146" s="356">
        <v>43282</v>
      </c>
      <c r="DD146" s="371" t="s">
        <v>375</v>
      </c>
      <c r="DE146" s="371"/>
      <c r="DF146" s="371">
        <v>4</v>
      </c>
      <c r="DG146" s="371">
        <v>2</v>
      </c>
      <c r="DH146" s="371">
        <v>6</v>
      </c>
      <c r="DI146" s="494">
        <f>'FPS Pivot Table'!F156</f>
        <v>136.58000000000001</v>
      </c>
      <c r="DJ146" s="42"/>
      <c r="DK146" s="313" t="str">
        <f t="shared" si="56"/>
        <v>642</v>
      </c>
      <c r="DL146" s="356">
        <v>43282</v>
      </c>
      <c r="DM146" s="356">
        <v>43282</v>
      </c>
      <c r="DN146" s="371" t="s">
        <v>375</v>
      </c>
      <c r="DO146" s="371"/>
      <c r="DP146" s="371">
        <v>4</v>
      </c>
      <c r="DQ146" s="371">
        <v>2</v>
      </c>
      <c r="DR146" s="371">
        <v>6</v>
      </c>
      <c r="DS146" s="494">
        <f>'FPS Pivot Table'!G156</f>
        <v>142.04</v>
      </c>
      <c r="DT146" s="661">
        <f t="shared" si="60"/>
        <v>147.72</v>
      </c>
      <c r="DU146" s="42"/>
      <c r="DV146" s="42"/>
      <c r="DW146" s="42"/>
      <c r="DX146" s="42"/>
      <c r="DY146" s="42"/>
      <c r="DZ146" s="42"/>
      <c r="EA146" s="42"/>
      <c r="EB146" s="42"/>
      <c r="EC146" s="42"/>
      <c r="ED146" s="42"/>
      <c r="EE146" s="42"/>
      <c r="EF146" s="42"/>
      <c r="EG146" s="42"/>
      <c r="EH146" s="42"/>
      <c r="EI146" s="42"/>
      <c r="EJ146" s="42"/>
      <c r="EK146" s="42"/>
      <c r="EL146" s="42"/>
      <c r="EM146" s="42"/>
      <c r="EN146" s="42"/>
      <c r="EO146" s="42"/>
      <c r="EP146" s="42"/>
      <c r="EQ146" s="42"/>
      <c r="ER146" s="42"/>
      <c r="ES146" s="42"/>
      <c r="ET146" s="42"/>
      <c r="EU146" s="42"/>
      <c r="EV146" s="42"/>
      <c r="EW146" s="42"/>
      <c r="EX146" s="42"/>
      <c r="EY146" s="42"/>
      <c r="EZ146" s="42"/>
      <c r="FA146" s="42"/>
    </row>
    <row r="147" spans="13:157">
      <c r="M147" s="177"/>
      <c r="AP147" s="343" t="s">
        <v>139</v>
      </c>
      <c r="AQ147" s="344" t="s">
        <v>295</v>
      </c>
      <c r="AR147" s="42"/>
      <c r="AS147" s="42"/>
      <c r="AT147" s="42"/>
      <c r="AU147" s="42"/>
      <c r="AV147" s="42"/>
      <c r="AW147" s="42"/>
      <c r="AX147" s="314">
        <v>142</v>
      </c>
      <c r="AY147" s="166" t="s">
        <v>4</v>
      </c>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313" t="str">
        <f t="shared" si="57"/>
        <v>643</v>
      </c>
      <c r="CG147" s="356">
        <v>43282</v>
      </c>
      <c r="CH147" s="356">
        <v>43282</v>
      </c>
      <c r="CI147" s="370" t="s">
        <v>15</v>
      </c>
      <c r="CJ147" s="370"/>
      <c r="CK147" s="371">
        <v>4</v>
      </c>
      <c r="CL147" s="371">
        <v>3</v>
      </c>
      <c r="CM147" s="370">
        <v>6</v>
      </c>
      <c r="CN147" s="494">
        <f>'FPS Pivot Table'!D157</f>
        <v>61.94</v>
      </c>
      <c r="CO147" s="158"/>
      <c r="CP147" s="313" t="str">
        <f t="shared" si="58"/>
        <v>643</v>
      </c>
      <c r="CQ147" s="356">
        <v>43282</v>
      </c>
      <c r="CR147" s="356">
        <v>43282</v>
      </c>
      <c r="CS147" s="370" t="s">
        <v>15</v>
      </c>
      <c r="CT147" s="370"/>
      <c r="CU147" s="371">
        <v>4</v>
      </c>
      <c r="CV147" s="371">
        <v>3</v>
      </c>
      <c r="CW147" s="370">
        <v>6</v>
      </c>
      <c r="CX147" s="494">
        <f>'FPS Pivot Table'!E157</f>
        <v>64.42</v>
      </c>
      <c r="CY147" s="661">
        <f t="shared" si="59"/>
        <v>67</v>
      </c>
      <c r="CZ147" s="158"/>
      <c r="DA147" s="313" t="str">
        <f t="shared" si="55"/>
        <v>643</v>
      </c>
      <c r="DB147" s="356">
        <v>43282</v>
      </c>
      <c r="DC147" s="356">
        <v>43282</v>
      </c>
      <c r="DD147" s="371" t="s">
        <v>375</v>
      </c>
      <c r="DE147" s="371"/>
      <c r="DF147" s="371">
        <v>4</v>
      </c>
      <c r="DG147" s="371">
        <v>3</v>
      </c>
      <c r="DH147" s="371">
        <v>6</v>
      </c>
      <c r="DI147" s="494">
        <f>'FPS Pivot Table'!F157</f>
        <v>140.68</v>
      </c>
      <c r="DJ147" s="42"/>
      <c r="DK147" s="313" t="str">
        <f t="shared" si="56"/>
        <v>643</v>
      </c>
      <c r="DL147" s="356">
        <v>43282</v>
      </c>
      <c r="DM147" s="356">
        <v>43282</v>
      </c>
      <c r="DN147" s="371" t="s">
        <v>375</v>
      </c>
      <c r="DO147" s="371"/>
      <c r="DP147" s="371">
        <v>4</v>
      </c>
      <c r="DQ147" s="371">
        <v>3</v>
      </c>
      <c r="DR147" s="371">
        <v>6</v>
      </c>
      <c r="DS147" s="494">
        <f>'FPS Pivot Table'!G157</f>
        <v>146.31</v>
      </c>
      <c r="DT147" s="661">
        <f t="shared" si="60"/>
        <v>152.16</v>
      </c>
      <c r="DU147" s="42"/>
      <c r="DV147" s="42"/>
      <c r="DW147" s="42"/>
      <c r="DX147" s="42"/>
      <c r="DY147" s="42"/>
      <c r="DZ147" s="42"/>
      <c r="EA147" s="42"/>
      <c r="EB147" s="42"/>
      <c r="EC147" s="42"/>
      <c r="ED147" s="42"/>
      <c r="EE147" s="42"/>
      <c r="EF147" s="42"/>
      <c r="EG147" s="42"/>
      <c r="EH147" s="42"/>
      <c r="EI147" s="42"/>
      <c r="EJ147" s="42"/>
      <c r="EK147" s="42"/>
      <c r="EL147" s="42"/>
      <c r="EM147" s="42"/>
      <c r="EN147" s="42"/>
      <c r="EO147" s="42"/>
      <c r="EP147" s="42"/>
      <c r="EQ147" s="42"/>
      <c r="ER147" s="42"/>
      <c r="ES147" s="42"/>
      <c r="ET147" s="42"/>
      <c r="EU147" s="42"/>
      <c r="EV147" s="42"/>
      <c r="EW147" s="42"/>
      <c r="EX147" s="42"/>
      <c r="EY147" s="42"/>
      <c r="EZ147" s="42"/>
      <c r="FA147" s="42"/>
    </row>
    <row r="148" spans="13:157">
      <c r="M148" s="177"/>
      <c r="AP148" s="343" t="s">
        <v>138</v>
      </c>
      <c r="AQ148" s="344" t="s">
        <v>295</v>
      </c>
      <c r="AR148" s="42"/>
      <c r="AS148" s="42"/>
      <c r="AT148" s="42"/>
      <c r="AU148" s="42"/>
      <c r="AV148" s="42"/>
      <c r="AW148" s="42"/>
      <c r="AX148" s="314">
        <v>143</v>
      </c>
      <c r="AY148" s="166" t="s">
        <v>4</v>
      </c>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313" t="str">
        <f t="shared" si="57"/>
        <v>644</v>
      </c>
      <c r="CG148" s="356">
        <v>43282</v>
      </c>
      <c r="CH148" s="356">
        <v>43282</v>
      </c>
      <c r="CI148" s="370" t="s">
        <v>15</v>
      </c>
      <c r="CJ148" s="370"/>
      <c r="CK148" s="371">
        <v>4</v>
      </c>
      <c r="CL148" s="371">
        <v>4</v>
      </c>
      <c r="CM148" s="370">
        <v>6</v>
      </c>
      <c r="CN148" s="494">
        <f>'FPS Pivot Table'!D158</f>
        <v>68.25</v>
      </c>
      <c r="CO148" s="158"/>
      <c r="CP148" s="313" t="str">
        <f t="shared" si="58"/>
        <v>644</v>
      </c>
      <c r="CQ148" s="356">
        <v>43282</v>
      </c>
      <c r="CR148" s="356">
        <v>43282</v>
      </c>
      <c r="CS148" s="370" t="s">
        <v>15</v>
      </c>
      <c r="CT148" s="370"/>
      <c r="CU148" s="371">
        <v>4</v>
      </c>
      <c r="CV148" s="371">
        <v>4</v>
      </c>
      <c r="CW148" s="370">
        <v>6</v>
      </c>
      <c r="CX148" s="494">
        <f>'FPS Pivot Table'!E158</f>
        <v>70.98</v>
      </c>
      <c r="CY148" s="661">
        <f t="shared" si="59"/>
        <v>73.819999999999993</v>
      </c>
      <c r="CZ148" s="158"/>
      <c r="DA148" s="313" t="str">
        <f t="shared" si="55"/>
        <v>644</v>
      </c>
      <c r="DB148" s="356">
        <v>43282</v>
      </c>
      <c r="DC148" s="356">
        <v>43282</v>
      </c>
      <c r="DD148" s="371" t="s">
        <v>375</v>
      </c>
      <c r="DE148" s="371"/>
      <c r="DF148" s="371">
        <v>4</v>
      </c>
      <c r="DG148" s="371">
        <v>4</v>
      </c>
      <c r="DH148" s="371">
        <v>6</v>
      </c>
      <c r="DI148" s="494">
        <f>'FPS Pivot Table'!F158</f>
        <v>146.22</v>
      </c>
      <c r="DJ148" s="42"/>
      <c r="DK148" s="313" t="str">
        <f t="shared" si="56"/>
        <v>644</v>
      </c>
      <c r="DL148" s="356">
        <v>43282</v>
      </c>
      <c r="DM148" s="356">
        <v>43282</v>
      </c>
      <c r="DN148" s="371" t="s">
        <v>375</v>
      </c>
      <c r="DO148" s="371"/>
      <c r="DP148" s="371">
        <v>4</v>
      </c>
      <c r="DQ148" s="371">
        <v>4</v>
      </c>
      <c r="DR148" s="371">
        <v>6</v>
      </c>
      <c r="DS148" s="494">
        <f>'FPS Pivot Table'!G158</f>
        <v>152.07</v>
      </c>
      <c r="DT148" s="661">
        <f t="shared" si="60"/>
        <v>158.15</v>
      </c>
      <c r="DU148" s="42"/>
      <c r="DV148" s="42"/>
      <c r="DW148" s="42"/>
      <c r="DX148" s="42"/>
      <c r="DY148" s="42"/>
      <c r="DZ148" s="42"/>
      <c r="EA148" s="42"/>
      <c r="EB148" s="42"/>
      <c r="EC148" s="42"/>
      <c r="ED148" s="42"/>
      <c r="EE148" s="42"/>
      <c r="EF148" s="42"/>
      <c r="EG148" s="42"/>
      <c r="EH148" s="42"/>
      <c r="EI148" s="42"/>
      <c r="EJ148" s="42"/>
      <c r="EK148" s="42"/>
      <c r="EL148" s="42"/>
      <c r="EM148" s="42"/>
      <c r="EN148" s="42"/>
      <c r="EO148" s="42"/>
      <c r="EP148" s="42"/>
      <c r="EQ148" s="42"/>
      <c r="ER148" s="42"/>
      <c r="ES148" s="42"/>
      <c r="ET148" s="42"/>
      <c r="EU148" s="42"/>
      <c r="EV148" s="42"/>
      <c r="EW148" s="42"/>
      <c r="EX148" s="42"/>
      <c r="EY148" s="42"/>
      <c r="EZ148" s="42"/>
      <c r="FA148" s="42"/>
    </row>
    <row r="149" spans="13:157">
      <c r="M149" s="177"/>
      <c r="AP149" s="343" t="s">
        <v>136</v>
      </c>
      <c r="AQ149" s="344"/>
      <c r="AR149" s="42"/>
      <c r="AS149" s="42"/>
      <c r="AT149" s="42"/>
      <c r="AU149" s="42"/>
      <c r="AV149" s="42"/>
      <c r="AW149" s="42"/>
      <c r="AX149" s="314">
        <v>144</v>
      </c>
      <c r="AY149" s="166" t="s">
        <v>4</v>
      </c>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313" t="str">
        <f t="shared" si="57"/>
        <v>645</v>
      </c>
      <c r="CG149" s="356">
        <v>43282</v>
      </c>
      <c r="CH149" s="356">
        <v>43282</v>
      </c>
      <c r="CI149" s="370" t="s">
        <v>15</v>
      </c>
      <c r="CJ149" s="370"/>
      <c r="CK149" s="371">
        <v>4</v>
      </c>
      <c r="CL149" s="371">
        <v>5</v>
      </c>
      <c r="CM149" s="370">
        <v>6</v>
      </c>
      <c r="CN149" s="494">
        <f>'FPS Pivot Table'!D159</f>
        <v>73.77</v>
      </c>
      <c r="CO149" s="158"/>
      <c r="CP149" s="313" t="str">
        <f t="shared" si="58"/>
        <v>645</v>
      </c>
      <c r="CQ149" s="356">
        <v>43282</v>
      </c>
      <c r="CR149" s="356">
        <v>43282</v>
      </c>
      <c r="CS149" s="370" t="s">
        <v>15</v>
      </c>
      <c r="CT149" s="370"/>
      <c r="CU149" s="371">
        <v>4</v>
      </c>
      <c r="CV149" s="371">
        <v>5</v>
      </c>
      <c r="CW149" s="370">
        <v>6</v>
      </c>
      <c r="CX149" s="494">
        <f>'FPS Pivot Table'!E159</f>
        <v>76.72</v>
      </c>
      <c r="CY149" s="661">
        <f t="shared" si="59"/>
        <v>79.790000000000006</v>
      </c>
      <c r="CZ149" s="158"/>
      <c r="DA149" s="313" t="str">
        <f t="shared" si="55"/>
        <v>645</v>
      </c>
      <c r="DB149" s="356">
        <v>43282</v>
      </c>
      <c r="DC149" s="356">
        <v>43282</v>
      </c>
      <c r="DD149" s="371" t="s">
        <v>375</v>
      </c>
      <c r="DE149" s="371"/>
      <c r="DF149" s="371">
        <v>4</v>
      </c>
      <c r="DG149" s="371">
        <v>5</v>
      </c>
      <c r="DH149" s="371">
        <v>6</v>
      </c>
      <c r="DI149" s="494">
        <f>'FPS Pivot Table'!F159</f>
        <v>151.08000000000001</v>
      </c>
      <c r="DJ149" s="42"/>
      <c r="DK149" s="313" t="str">
        <f t="shared" si="56"/>
        <v>645</v>
      </c>
      <c r="DL149" s="356">
        <v>43282</v>
      </c>
      <c r="DM149" s="356">
        <v>43282</v>
      </c>
      <c r="DN149" s="371" t="s">
        <v>375</v>
      </c>
      <c r="DO149" s="371"/>
      <c r="DP149" s="371">
        <v>4</v>
      </c>
      <c r="DQ149" s="371">
        <v>5</v>
      </c>
      <c r="DR149" s="371">
        <v>6</v>
      </c>
      <c r="DS149" s="494">
        <f>'FPS Pivot Table'!G159</f>
        <v>157.12</v>
      </c>
      <c r="DT149" s="661">
        <f t="shared" si="60"/>
        <v>163.4</v>
      </c>
      <c r="DU149" s="42"/>
      <c r="DV149" s="42"/>
      <c r="DW149" s="42"/>
      <c r="DX149" s="42"/>
      <c r="DY149" s="42"/>
      <c r="DZ149" s="42"/>
      <c r="EA149" s="42"/>
      <c r="EB149" s="42"/>
      <c r="EC149" s="42"/>
      <c r="ED149" s="42"/>
      <c r="EE149" s="42"/>
      <c r="EF149" s="42"/>
      <c r="EG149" s="42"/>
      <c r="EH149" s="42"/>
      <c r="EI149" s="42"/>
      <c r="EJ149" s="42"/>
      <c r="EK149" s="42"/>
      <c r="EL149" s="42"/>
      <c r="EM149" s="42"/>
      <c r="EN149" s="42"/>
      <c r="EO149" s="42"/>
      <c r="EP149" s="42"/>
      <c r="EQ149" s="42"/>
      <c r="ER149" s="42"/>
      <c r="ES149" s="42"/>
      <c r="ET149" s="42"/>
      <c r="EU149" s="42"/>
      <c r="EV149" s="42"/>
      <c r="EW149" s="42"/>
      <c r="EX149" s="42"/>
      <c r="EY149" s="42"/>
      <c r="EZ149" s="42"/>
      <c r="FA149" s="42"/>
    </row>
    <row r="150" spans="13:157">
      <c r="M150" s="177"/>
      <c r="AP150" s="343" t="s">
        <v>137</v>
      </c>
      <c r="AQ150" s="344" t="s">
        <v>295</v>
      </c>
      <c r="AR150" s="42"/>
      <c r="AS150" s="42"/>
      <c r="AT150" s="42"/>
      <c r="AU150" s="42"/>
      <c r="AV150" s="42"/>
      <c r="AW150" s="42"/>
      <c r="AX150" s="314">
        <v>145</v>
      </c>
      <c r="AY150" s="166" t="s">
        <v>4</v>
      </c>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313" t="str">
        <f t="shared" si="57"/>
        <v>651</v>
      </c>
      <c r="CG150" s="356">
        <v>43282</v>
      </c>
      <c r="CH150" s="356">
        <v>43282</v>
      </c>
      <c r="CI150" s="370" t="s">
        <v>15</v>
      </c>
      <c r="CJ150" s="370"/>
      <c r="CK150" s="371">
        <v>5</v>
      </c>
      <c r="CL150" s="371">
        <v>1</v>
      </c>
      <c r="CM150" s="370">
        <v>6</v>
      </c>
      <c r="CN150" s="494">
        <f>'FPS Pivot Table'!D160</f>
        <v>75.709999999999994</v>
      </c>
      <c r="CO150" s="158"/>
      <c r="CP150" s="313" t="str">
        <f t="shared" si="58"/>
        <v>651</v>
      </c>
      <c r="CQ150" s="356">
        <v>43282</v>
      </c>
      <c r="CR150" s="356">
        <v>43282</v>
      </c>
      <c r="CS150" s="370" t="s">
        <v>15</v>
      </c>
      <c r="CT150" s="370"/>
      <c r="CU150" s="371">
        <v>5</v>
      </c>
      <c r="CV150" s="371">
        <v>1</v>
      </c>
      <c r="CW150" s="370">
        <v>6</v>
      </c>
      <c r="CX150" s="494">
        <f>'FPS Pivot Table'!E160</f>
        <v>78.739999999999995</v>
      </c>
      <c r="CY150" s="661">
        <f t="shared" si="59"/>
        <v>81.89</v>
      </c>
      <c r="CZ150" s="158"/>
      <c r="DA150" s="313" t="str">
        <f t="shared" si="55"/>
        <v>651</v>
      </c>
      <c r="DB150" s="356">
        <v>43282</v>
      </c>
      <c r="DC150" s="356">
        <v>43282</v>
      </c>
      <c r="DD150" s="371" t="s">
        <v>375</v>
      </c>
      <c r="DE150" s="371"/>
      <c r="DF150" s="371">
        <v>5</v>
      </c>
      <c r="DG150" s="371">
        <v>1</v>
      </c>
      <c r="DH150" s="371">
        <v>6</v>
      </c>
      <c r="DI150" s="494">
        <f>'FPS Pivot Table'!F160</f>
        <v>192.2</v>
      </c>
      <c r="DJ150" s="42"/>
      <c r="DK150" s="313" t="str">
        <f t="shared" si="56"/>
        <v>651</v>
      </c>
      <c r="DL150" s="356">
        <v>43282</v>
      </c>
      <c r="DM150" s="356">
        <v>43282</v>
      </c>
      <c r="DN150" s="371" t="s">
        <v>375</v>
      </c>
      <c r="DO150" s="371"/>
      <c r="DP150" s="371">
        <v>5</v>
      </c>
      <c r="DQ150" s="371">
        <v>1</v>
      </c>
      <c r="DR150" s="371">
        <v>6</v>
      </c>
      <c r="DS150" s="494">
        <f>'FPS Pivot Table'!G160</f>
        <v>199.89</v>
      </c>
      <c r="DT150" s="661">
        <f t="shared" si="60"/>
        <v>207.89</v>
      </c>
      <c r="DU150" s="42"/>
      <c r="DV150" s="42"/>
      <c r="DW150" s="42"/>
      <c r="DX150" s="42"/>
      <c r="DY150" s="42"/>
      <c r="DZ150" s="42"/>
      <c r="EA150" s="42"/>
      <c r="EB150" s="42"/>
      <c r="EC150" s="42"/>
      <c r="ED150" s="42"/>
      <c r="EE150" s="42"/>
      <c r="EF150" s="42"/>
      <c r="EG150" s="42"/>
      <c r="EH150" s="42"/>
      <c r="EI150" s="42"/>
      <c r="EJ150" s="42"/>
      <c r="EK150" s="42"/>
      <c r="EL150" s="42"/>
      <c r="EM150" s="42"/>
      <c r="EN150" s="42"/>
      <c r="EO150" s="42"/>
      <c r="EP150" s="42"/>
      <c r="EQ150" s="42"/>
      <c r="ER150" s="42"/>
      <c r="ES150" s="42"/>
      <c r="ET150" s="42"/>
      <c r="EU150" s="42"/>
      <c r="EV150" s="42"/>
      <c r="EW150" s="42"/>
      <c r="EX150" s="42"/>
      <c r="EY150" s="42"/>
      <c r="EZ150" s="42"/>
      <c r="FA150" s="42"/>
    </row>
    <row r="151" spans="13:157">
      <c r="M151" s="177"/>
      <c r="AP151" s="343" t="s">
        <v>153</v>
      </c>
      <c r="AQ151" s="344"/>
      <c r="AR151" s="42"/>
      <c r="AS151" s="42"/>
      <c r="AT151" s="42"/>
      <c r="AU151" s="42"/>
      <c r="AV151" s="42"/>
      <c r="AW151" s="42"/>
      <c r="AX151" s="314">
        <v>146</v>
      </c>
      <c r="AY151" s="166" t="s">
        <v>4</v>
      </c>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313" t="str">
        <f t="shared" si="57"/>
        <v>652</v>
      </c>
      <c r="CG151" s="356">
        <v>43282</v>
      </c>
      <c r="CH151" s="356">
        <v>43282</v>
      </c>
      <c r="CI151" s="370" t="s">
        <v>15</v>
      </c>
      <c r="CJ151" s="370"/>
      <c r="CK151" s="371">
        <v>5</v>
      </c>
      <c r="CL151" s="371">
        <v>2</v>
      </c>
      <c r="CM151" s="370">
        <v>6</v>
      </c>
      <c r="CN151" s="494">
        <f>'FPS Pivot Table'!D161</f>
        <v>78.59</v>
      </c>
      <c r="CO151" s="158"/>
      <c r="CP151" s="313" t="str">
        <f t="shared" si="58"/>
        <v>652</v>
      </c>
      <c r="CQ151" s="356">
        <v>43282</v>
      </c>
      <c r="CR151" s="356">
        <v>43282</v>
      </c>
      <c r="CS151" s="370" t="s">
        <v>15</v>
      </c>
      <c r="CT151" s="370"/>
      <c r="CU151" s="371">
        <v>5</v>
      </c>
      <c r="CV151" s="371">
        <v>2</v>
      </c>
      <c r="CW151" s="370">
        <v>6</v>
      </c>
      <c r="CX151" s="494">
        <f>'FPS Pivot Table'!E161</f>
        <v>81.73</v>
      </c>
      <c r="CY151" s="661">
        <f t="shared" si="59"/>
        <v>85</v>
      </c>
      <c r="CZ151" s="158"/>
      <c r="DA151" s="313" t="str">
        <f t="shared" si="55"/>
        <v>652</v>
      </c>
      <c r="DB151" s="356">
        <v>43282</v>
      </c>
      <c r="DC151" s="356">
        <v>43282</v>
      </c>
      <c r="DD151" s="371" t="s">
        <v>375</v>
      </c>
      <c r="DE151" s="371"/>
      <c r="DF151" s="371">
        <v>5</v>
      </c>
      <c r="DG151" s="371">
        <v>2</v>
      </c>
      <c r="DH151" s="371">
        <v>6</v>
      </c>
      <c r="DI151" s="494">
        <f>'FPS Pivot Table'!F161</f>
        <v>194.71</v>
      </c>
      <c r="DJ151" s="42"/>
      <c r="DK151" s="313" t="str">
        <f t="shared" si="56"/>
        <v>652</v>
      </c>
      <c r="DL151" s="356">
        <v>43282</v>
      </c>
      <c r="DM151" s="356">
        <v>43282</v>
      </c>
      <c r="DN151" s="371" t="s">
        <v>375</v>
      </c>
      <c r="DO151" s="371"/>
      <c r="DP151" s="371">
        <v>5</v>
      </c>
      <c r="DQ151" s="371">
        <v>2</v>
      </c>
      <c r="DR151" s="371">
        <v>6</v>
      </c>
      <c r="DS151" s="494">
        <f>'FPS Pivot Table'!G161</f>
        <v>202.5</v>
      </c>
      <c r="DT151" s="661">
        <f t="shared" si="60"/>
        <v>210.6</v>
      </c>
      <c r="DU151" s="42"/>
      <c r="DV151" s="42"/>
      <c r="DW151" s="42"/>
      <c r="DX151" s="42"/>
      <c r="DY151" s="42"/>
      <c r="DZ151" s="42"/>
      <c r="EA151" s="42"/>
      <c r="EB151" s="42"/>
      <c r="EC151" s="42"/>
      <c r="ED151" s="42"/>
      <c r="EE151" s="42"/>
      <c r="EF151" s="42"/>
      <c r="EG151" s="42"/>
      <c r="EH151" s="42"/>
      <c r="EI151" s="42"/>
      <c r="EJ151" s="42"/>
      <c r="EK151" s="42"/>
      <c r="EL151" s="42"/>
      <c r="EM151" s="42"/>
      <c r="EN151" s="42"/>
      <c r="EO151" s="42"/>
      <c r="EP151" s="42"/>
      <c r="EQ151" s="42"/>
      <c r="ER151" s="42"/>
      <c r="ES151" s="42"/>
      <c r="ET151" s="42"/>
      <c r="EU151" s="42"/>
      <c r="EV151" s="42"/>
      <c r="EW151" s="42"/>
      <c r="EX151" s="42"/>
      <c r="EY151" s="42"/>
      <c r="EZ151" s="42"/>
      <c r="FA151" s="42"/>
    </row>
    <row r="152" spans="13:157" ht="15" thickBot="1">
      <c r="M152" s="177"/>
      <c r="AP152" s="345" t="s">
        <v>152</v>
      </c>
      <c r="AQ152" s="346" t="s">
        <v>295</v>
      </c>
      <c r="AR152" s="42"/>
      <c r="AS152" s="42"/>
      <c r="AT152" s="42"/>
      <c r="AU152" s="42"/>
      <c r="AV152" s="42"/>
      <c r="AW152" s="42"/>
      <c r="AX152" s="314">
        <v>147</v>
      </c>
      <c r="AY152" s="166" t="s">
        <v>4</v>
      </c>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313" t="str">
        <f t="shared" si="57"/>
        <v>653</v>
      </c>
      <c r="CG152" s="356">
        <v>43282</v>
      </c>
      <c r="CH152" s="356">
        <v>43282</v>
      </c>
      <c r="CI152" s="370" t="s">
        <v>15</v>
      </c>
      <c r="CJ152" s="370"/>
      <c r="CK152" s="371">
        <v>5</v>
      </c>
      <c r="CL152" s="371">
        <v>3</v>
      </c>
      <c r="CM152" s="370">
        <v>6</v>
      </c>
      <c r="CN152" s="494">
        <f>'FPS Pivot Table'!D162</f>
        <v>83.25</v>
      </c>
      <c r="CO152" s="158"/>
      <c r="CP152" s="313" t="str">
        <f t="shared" si="58"/>
        <v>653</v>
      </c>
      <c r="CQ152" s="356">
        <v>43282</v>
      </c>
      <c r="CR152" s="356">
        <v>43282</v>
      </c>
      <c r="CS152" s="370" t="s">
        <v>15</v>
      </c>
      <c r="CT152" s="370"/>
      <c r="CU152" s="371">
        <v>5</v>
      </c>
      <c r="CV152" s="371">
        <v>3</v>
      </c>
      <c r="CW152" s="370">
        <v>6</v>
      </c>
      <c r="CX152" s="494">
        <f>'FPS Pivot Table'!E162</f>
        <v>86.58</v>
      </c>
      <c r="CY152" s="661">
        <f t="shared" si="59"/>
        <v>90.04</v>
      </c>
      <c r="CZ152" s="158"/>
      <c r="DA152" s="313" t="str">
        <f t="shared" si="55"/>
        <v>653</v>
      </c>
      <c r="DB152" s="356">
        <v>43282</v>
      </c>
      <c r="DC152" s="356">
        <v>43282</v>
      </c>
      <c r="DD152" s="371" t="s">
        <v>375</v>
      </c>
      <c r="DE152" s="371"/>
      <c r="DF152" s="371">
        <v>5</v>
      </c>
      <c r="DG152" s="371">
        <v>3</v>
      </c>
      <c r="DH152" s="371">
        <v>6</v>
      </c>
      <c r="DI152" s="494">
        <f>'FPS Pivot Table'!F162</f>
        <v>198.81</v>
      </c>
      <c r="DJ152" s="42"/>
      <c r="DK152" s="313" t="str">
        <f t="shared" si="56"/>
        <v>653</v>
      </c>
      <c r="DL152" s="356">
        <v>43282</v>
      </c>
      <c r="DM152" s="356">
        <v>43282</v>
      </c>
      <c r="DN152" s="371" t="s">
        <v>375</v>
      </c>
      <c r="DO152" s="371"/>
      <c r="DP152" s="371">
        <v>5</v>
      </c>
      <c r="DQ152" s="371">
        <v>3</v>
      </c>
      <c r="DR152" s="371">
        <v>6</v>
      </c>
      <c r="DS152" s="494">
        <f>'FPS Pivot Table'!G162</f>
        <v>206.76</v>
      </c>
      <c r="DT152" s="661">
        <f t="shared" si="60"/>
        <v>215.03</v>
      </c>
      <c r="DU152" s="42"/>
      <c r="DV152" s="42"/>
      <c r="DW152" s="42"/>
      <c r="DX152" s="42"/>
      <c r="DY152" s="42"/>
      <c r="DZ152" s="42"/>
      <c r="EA152" s="42"/>
      <c r="EB152" s="42"/>
      <c r="EC152" s="42"/>
      <c r="ED152" s="42"/>
      <c r="EE152" s="42"/>
      <c r="EF152" s="42"/>
      <c r="EG152" s="42"/>
      <c r="EH152" s="42"/>
      <c r="EI152" s="42"/>
      <c r="EJ152" s="42"/>
      <c r="EK152" s="42"/>
      <c r="EL152" s="42"/>
      <c r="EM152" s="42"/>
      <c r="EN152" s="42"/>
      <c r="EO152" s="42"/>
      <c r="EP152" s="42"/>
      <c r="EQ152" s="42"/>
      <c r="ER152" s="42"/>
      <c r="ES152" s="42"/>
      <c r="ET152" s="42"/>
      <c r="EU152" s="42"/>
      <c r="EV152" s="42"/>
      <c r="EW152" s="42"/>
      <c r="EX152" s="42"/>
      <c r="EY152" s="42"/>
      <c r="EZ152" s="42"/>
      <c r="FA152" s="42"/>
    </row>
    <row r="153" spans="13:157">
      <c r="M153" s="177"/>
      <c r="AP153" s="42"/>
      <c r="AQ153" s="42"/>
      <c r="AR153" s="42"/>
      <c r="AS153" s="42"/>
      <c r="AT153" s="42"/>
      <c r="AU153" s="42"/>
      <c r="AV153" s="42"/>
      <c r="AW153" s="42"/>
      <c r="AX153" s="314">
        <v>148</v>
      </c>
      <c r="AY153" s="166" t="s">
        <v>4</v>
      </c>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313" t="str">
        <f t="shared" si="57"/>
        <v>654</v>
      </c>
      <c r="CG153" s="356">
        <v>43282</v>
      </c>
      <c r="CH153" s="356">
        <v>43282</v>
      </c>
      <c r="CI153" s="370" t="s">
        <v>15</v>
      </c>
      <c r="CJ153" s="370"/>
      <c r="CK153" s="371">
        <v>5</v>
      </c>
      <c r="CL153" s="371">
        <v>4</v>
      </c>
      <c r="CM153" s="370">
        <v>6</v>
      </c>
      <c r="CN153" s="494">
        <f>'FPS Pivot Table'!D163</f>
        <v>89.55</v>
      </c>
      <c r="CO153" s="158"/>
      <c r="CP153" s="313" t="str">
        <f t="shared" si="58"/>
        <v>654</v>
      </c>
      <c r="CQ153" s="356">
        <v>43282</v>
      </c>
      <c r="CR153" s="356">
        <v>43282</v>
      </c>
      <c r="CS153" s="370" t="s">
        <v>15</v>
      </c>
      <c r="CT153" s="370"/>
      <c r="CU153" s="371">
        <v>5</v>
      </c>
      <c r="CV153" s="371">
        <v>4</v>
      </c>
      <c r="CW153" s="370">
        <v>6</v>
      </c>
      <c r="CX153" s="494">
        <f>'FPS Pivot Table'!E163</f>
        <v>93.13</v>
      </c>
      <c r="CY153" s="661">
        <f t="shared" si="59"/>
        <v>96.86</v>
      </c>
      <c r="CZ153" s="158"/>
      <c r="DA153" s="313" t="str">
        <f t="shared" si="55"/>
        <v>654</v>
      </c>
      <c r="DB153" s="356">
        <v>43282</v>
      </c>
      <c r="DC153" s="356">
        <v>43282</v>
      </c>
      <c r="DD153" s="371" t="s">
        <v>375</v>
      </c>
      <c r="DE153" s="371"/>
      <c r="DF153" s="371">
        <v>5</v>
      </c>
      <c r="DG153" s="371">
        <v>4</v>
      </c>
      <c r="DH153" s="371">
        <v>6</v>
      </c>
      <c r="DI153" s="494">
        <f>'FPS Pivot Table'!F163</f>
        <v>204.34</v>
      </c>
      <c r="DJ153" s="42"/>
      <c r="DK153" s="313" t="str">
        <f t="shared" si="56"/>
        <v>654</v>
      </c>
      <c r="DL153" s="356">
        <v>43282</v>
      </c>
      <c r="DM153" s="356">
        <v>43282</v>
      </c>
      <c r="DN153" s="371" t="s">
        <v>375</v>
      </c>
      <c r="DO153" s="371"/>
      <c r="DP153" s="371">
        <v>5</v>
      </c>
      <c r="DQ153" s="371">
        <v>4</v>
      </c>
      <c r="DR153" s="371">
        <v>6</v>
      </c>
      <c r="DS153" s="494">
        <f>'FPS Pivot Table'!G163</f>
        <v>212.51</v>
      </c>
      <c r="DT153" s="661">
        <f t="shared" si="60"/>
        <v>221.01</v>
      </c>
      <c r="DU153" s="42"/>
      <c r="DV153" s="42"/>
      <c r="DW153" s="42"/>
      <c r="DX153" s="42"/>
      <c r="DY153" s="42"/>
      <c r="DZ153" s="42"/>
      <c r="EA153" s="42"/>
      <c r="EB153" s="42"/>
      <c r="EC153" s="42"/>
      <c r="ED153" s="42"/>
      <c r="EE153" s="42"/>
      <c r="EF153" s="42"/>
      <c r="EG153" s="42"/>
      <c r="EH153" s="42"/>
      <c r="EI153" s="42"/>
      <c r="EJ153" s="42"/>
      <c r="EK153" s="42"/>
      <c r="EL153" s="42"/>
      <c r="EM153" s="42"/>
      <c r="EN153" s="42"/>
      <c r="EO153" s="42"/>
      <c r="EP153" s="42"/>
      <c r="EQ153" s="42"/>
      <c r="ER153" s="42"/>
      <c r="ES153" s="42"/>
      <c r="ET153" s="42"/>
      <c r="EU153" s="42"/>
      <c r="EV153" s="42"/>
      <c r="EW153" s="42"/>
      <c r="EX153" s="42"/>
      <c r="EY153" s="42"/>
      <c r="EZ153" s="42"/>
      <c r="FA153" s="42"/>
    </row>
    <row r="154" spans="13:157" ht="15" thickBot="1">
      <c r="M154" s="177"/>
      <c r="AP154" s="42"/>
      <c r="AQ154" s="42"/>
      <c r="AR154" s="42"/>
      <c r="AS154" s="42"/>
      <c r="AT154" s="42"/>
      <c r="AU154" s="42"/>
      <c r="AV154" s="42"/>
      <c r="AW154" s="42"/>
      <c r="AX154" s="314">
        <v>149</v>
      </c>
      <c r="AY154" s="166" t="s">
        <v>4</v>
      </c>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334" t="str">
        <f t="shared" si="57"/>
        <v>655</v>
      </c>
      <c r="CG154" s="361">
        <v>43282</v>
      </c>
      <c r="CH154" s="361">
        <v>43282</v>
      </c>
      <c r="CI154" s="372" t="s">
        <v>15</v>
      </c>
      <c r="CJ154" s="372"/>
      <c r="CK154" s="373">
        <v>5</v>
      </c>
      <c r="CL154" s="373">
        <v>5</v>
      </c>
      <c r="CM154" s="372">
        <v>6</v>
      </c>
      <c r="CN154" s="494">
        <f>'FPS Pivot Table'!D164</f>
        <v>95.09</v>
      </c>
      <c r="CO154" s="158"/>
      <c r="CP154" s="313" t="str">
        <f t="shared" si="58"/>
        <v>655</v>
      </c>
      <c r="CQ154" s="356">
        <v>43282</v>
      </c>
      <c r="CR154" s="356">
        <v>43282</v>
      </c>
      <c r="CS154" s="370" t="s">
        <v>15</v>
      </c>
      <c r="CT154" s="370"/>
      <c r="CU154" s="371">
        <v>5</v>
      </c>
      <c r="CV154" s="371">
        <v>5</v>
      </c>
      <c r="CW154" s="370">
        <v>6</v>
      </c>
      <c r="CX154" s="494">
        <f>'FPS Pivot Table'!E164</f>
        <v>98.89</v>
      </c>
      <c r="CY154" s="661">
        <f t="shared" si="59"/>
        <v>102.85</v>
      </c>
      <c r="CZ154" s="158"/>
      <c r="DA154" s="334" t="str">
        <f t="shared" si="55"/>
        <v>655</v>
      </c>
      <c r="DB154" s="361">
        <v>43282</v>
      </c>
      <c r="DC154" s="361">
        <v>43282</v>
      </c>
      <c r="DD154" s="373" t="s">
        <v>375</v>
      </c>
      <c r="DE154" s="373"/>
      <c r="DF154" s="373">
        <v>5</v>
      </c>
      <c r="DG154" s="373">
        <v>5</v>
      </c>
      <c r="DH154" s="373">
        <v>6</v>
      </c>
      <c r="DI154" s="494">
        <f>'FPS Pivot Table'!F164</f>
        <v>209.21</v>
      </c>
      <c r="DJ154" s="42"/>
      <c r="DK154" s="334" t="str">
        <f t="shared" si="56"/>
        <v>655</v>
      </c>
      <c r="DL154" s="361">
        <v>43282</v>
      </c>
      <c r="DM154" s="361">
        <v>43282</v>
      </c>
      <c r="DN154" s="373" t="s">
        <v>375</v>
      </c>
      <c r="DO154" s="373"/>
      <c r="DP154" s="373">
        <v>5</v>
      </c>
      <c r="DQ154" s="373">
        <v>5</v>
      </c>
      <c r="DR154" s="373">
        <v>6</v>
      </c>
      <c r="DS154" s="494">
        <f>'FPS Pivot Table'!G164</f>
        <v>217.58</v>
      </c>
      <c r="DT154" s="661">
        <f t="shared" si="60"/>
        <v>226.28</v>
      </c>
      <c r="DU154" s="42"/>
      <c r="DV154" s="42"/>
      <c r="DW154" s="42"/>
      <c r="DX154" s="42"/>
      <c r="DY154" s="42"/>
      <c r="DZ154" s="42"/>
      <c r="EA154" s="42"/>
      <c r="EB154" s="42"/>
      <c r="EC154" s="42"/>
      <c r="ED154" s="42"/>
      <c r="EE154" s="42"/>
      <c r="EF154" s="42"/>
      <c r="EG154" s="42"/>
      <c r="EH154" s="42"/>
      <c r="EI154" s="42"/>
      <c r="EJ154" s="42"/>
      <c r="EK154" s="42"/>
      <c r="EL154" s="42"/>
      <c r="EM154" s="42"/>
      <c r="EN154" s="42"/>
      <c r="EO154" s="42"/>
      <c r="EP154" s="42"/>
      <c r="EQ154" s="42"/>
      <c r="ER154" s="42"/>
      <c r="ES154" s="42"/>
      <c r="ET154" s="42"/>
      <c r="EU154" s="42"/>
      <c r="EV154" s="42"/>
      <c r="EW154" s="42"/>
      <c r="EX154" s="42"/>
      <c r="EY154" s="42"/>
      <c r="EZ154" s="42"/>
      <c r="FA154" s="42"/>
    </row>
    <row r="155" spans="13:157">
      <c r="M155" s="177"/>
      <c r="AP155" s="42"/>
      <c r="AQ155" s="42"/>
      <c r="AR155" s="42"/>
      <c r="AS155" s="42"/>
      <c r="AT155" s="42"/>
      <c r="AU155" s="42"/>
      <c r="AV155" s="42"/>
      <c r="AW155" s="42"/>
      <c r="AX155" s="314">
        <v>150</v>
      </c>
      <c r="AY155" s="166" t="s">
        <v>4</v>
      </c>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157"/>
      <c r="CH155" s="157"/>
      <c r="CI155" s="157"/>
      <c r="CJ155" s="157"/>
      <c r="CK155" s="158"/>
      <c r="CL155" s="158"/>
      <c r="CM155" s="159"/>
      <c r="CN155" s="158"/>
      <c r="CO155" s="158"/>
      <c r="CP155" s="158"/>
      <c r="CQ155" s="158"/>
      <c r="CR155" s="158"/>
      <c r="CS155" s="158"/>
      <c r="CT155" s="158"/>
      <c r="CU155" s="158"/>
      <c r="CV155" s="158"/>
      <c r="CW155" s="158"/>
      <c r="CX155" s="158"/>
      <c r="CY155" s="158"/>
      <c r="CZ155" s="158"/>
      <c r="DA155" s="42"/>
      <c r="DB155" s="42"/>
      <c r="DC155" s="42"/>
      <c r="DD155" s="42"/>
      <c r="DE155" s="42"/>
      <c r="DF155" s="42"/>
      <c r="DG155" s="42"/>
      <c r="DH155" s="42"/>
      <c r="DI155" s="42"/>
      <c r="DJ155" s="42"/>
      <c r="DK155" s="42"/>
      <c r="DL155" s="42"/>
      <c r="DM155" s="42"/>
      <c r="DN155" s="42"/>
      <c r="DO155" s="42"/>
      <c r="DP155" s="42"/>
      <c r="DQ155" s="42"/>
      <c r="DR155" s="42"/>
      <c r="DS155" s="42"/>
      <c r="DT155" s="42"/>
      <c r="DU155" s="42"/>
      <c r="DV155" s="42"/>
      <c r="DW155" s="42"/>
      <c r="DX155" s="42"/>
      <c r="DY155" s="42"/>
      <c r="DZ155" s="42"/>
      <c r="EA155" s="42"/>
      <c r="EB155" s="42"/>
      <c r="EC155" s="42"/>
      <c r="ED155" s="42"/>
      <c r="EE155" s="42"/>
      <c r="EF155" s="42"/>
      <c r="EG155" s="42"/>
      <c r="EH155" s="42"/>
      <c r="EI155" s="42"/>
      <c r="EJ155" s="42"/>
      <c r="EK155" s="42"/>
      <c r="EL155" s="42"/>
      <c r="EM155" s="42"/>
      <c r="EN155" s="42"/>
      <c r="EO155" s="42"/>
      <c r="EP155" s="42"/>
      <c r="EQ155" s="42"/>
      <c r="ER155" s="42"/>
      <c r="ES155" s="42"/>
      <c r="ET155" s="42"/>
      <c r="EU155" s="42"/>
      <c r="EV155" s="42"/>
      <c r="EW155" s="42"/>
      <c r="EX155" s="42"/>
      <c r="EY155" s="42"/>
      <c r="EZ155" s="42"/>
      <c r="FA155" s="42"/>
    </row>
    <row r="156" spans="13:157">
      <c r="M156" s="177"/>
      <c r="AP156" s="42"/>
      <c r="AQ156" s="42"/>
      <c r="AR156" s="42"/>
      <c r="AS156" s="42"/>
      <c r="AT156" s="42"/>
      <c r="AU156" s="42"/>
      <c r="AV156" s="42"/>
      <c r="AW156" s="42"/>
      <c r="AX156" s="314">
        <v>151</v>
      </c>
      <c r="AY156" s="166" t="s">
        <v>4</v>
      </c>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157"/>
      <c r="CH156" s="157"/>
      <c r="CI156" s="157"/>
      <c r="CJ156" s="157"/>
      <c r="CK156" s="158"/>
      <c r="CL156" s="158"/>
      <c r="CM156" s="159"/>
      <c r="CN156" s="158"/>
      <c r="CO156" s="158"/>
      <c r="CP156" s="158"/>
      <c r="CQ156" s="158"/>
      <c r="CR156" s="158"/>
      <c r="CS156" s="158"/>
      <c r="CT156" s="158"/>
      <c r="CU156" s="158"/>
      <c r="CV156" s="158"/>
      <c r="CW156" s="158"/>
      <c r="CX156" s="158"/>
      <c r="CY156" s="158"/>
      <c r="CZ156" s="158"/>
      <c r="DA156" s="42"/>
      <c r="DB156" s="42"/>
      <c r="DC156" s="42"/>
      <c r="DD156" s="42"/>
      <c r="DE156" s="42"/>
      <c r="DF156" s="42"/>
      <c r="DG156" s="42"/>
      <c r="DH156" s="42"/>
      <c r="DI156" s="42"/>
      <c r="DJ156" s="42"/>
      <c r="DK156" s="42"/>
      <c r="DL156" s="42"/>
      <c r="DM156" s="42"/>
      <c r="DN156" s="42"/>
      <c r="DO156" s="42"/>
      <c r="DP156" s="42"/>
      <c r="DQ156" s="42"/>
      <c r="DR156" s="42"/>
      <c r="DS156" s="42"/>
      <c r="DT156" s="42"/>
      <c r="DU156" s="42"/>
      <c r="DV156" s="42"/>
      <c r="DW156" s="42"/>
      <c r="DX156" s="42"/>
      <c r="DY156" s="42"/>
      <c r="DZ156" s="42"/>
      <c r="EA156" s="42"/>
      <c r="EB156" s="42"/>
      <c r="EC156" s="42"/>
      <c r="ED156" s="42"/>
      <c r="EE156" s="42"/>
      <c r="EF156" s="42"/>
      <c r="EG156" s="42"/>
      <c r="EH156" s="42"/>
      <c r="EI156" s="42"/>
      <c r="EJ156" s="42"/>
      <c r="EK156" s="42"/>
      <c r="EL156" s="42"/>
      <c r="EM156" s="42"/>
      <c r="EN156" s="42"/>
      <c r="EO156" s="42"/>
      <c r="EP156" s="42"/>
      <c r="EQ156" s="42"/>
      <c r="ER156" s="42"/>
      <c r="ES156" s="42"/>
      <c r="ET156" s="42"/>
      <c r="EU156" s="42"/>
      <c r="EV156" s="42"/>
      <c r="EW156" s="42"/>
      <c r="EX156" s="42"/>
      <c r="EY156" s="42"/>
      <c r="EZ156" s="42"/>
      <c r="FA156" s="42"/>
    </row>
    <row r="157" spans="13:157">
      <c r="M157" s="177"/>
      <c r="AP157" s="42"/>
      <c r="AQ157" s="42"/>
      <c r="AR157" s="42"/>
      <c r="AS157" s="42"/>
      <c r="AT157" s="42"/>
      <c r="AU157" s="42"/>
      <c r="AV157" s="42"/>
      <c r="AW157" s="42"/>
      <c r="AX157" s="314">
        <v>152</v>
      </c>
      <c r="AY157" s="166" t="s">
        <v>4</v>
      </c>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157"/>
      <c r="CH157" s="157"/>
      <c r="CI157" s="157"/>
      <c r="CJ157" s="157"/>
      <c r="CK157" s="158"/>
      <c r="CL157" s="158"/>
      <c r="CM157" s="159"/>
      <c r="CN157" s="158"/>
      <c r="CO157" s="158"/>
      <c r="CP157" s="158"/>
      <c r="CQ157" s="158"/>
      <c r="CR157" s="158"/>
      <c r="CS157" s="158"/>
      <c r="CT157" s="158"/>
      <c r="CU157" s="158"/>
      <c r="CV157" s="158"/>
      <c r="CW157" s="158"/>
      <c r="CX157" s="158"/>
      <c r="CY157" s="158"/>
      <c r="CZ157" s="158"/>
      <c r="DA157" s="42"/>
      <c r="DB157" s="42"/>
      <c r="DC157" s="42"/>
      <c r="DD157" s="42"/>
      <c r="DE157" s="42"/>
      <c r="DF157" s="42"/>
      <c r="DG157" s="42"/>
      <c r="DH157" s="42"/>
      <c r="DI157" s="42"/>
      <c r="DJ157" s="42"/>
      <c r="DK157" s="42"/>
      <c r="DL157" s="42"/>
      <c r="DM157" s="42"/>
      <c r="DN157" s="42"/>
      <c r="DO157" s="42"/>
      <c r="DP157" s="42"/>
      <c r="DQ157" s="42"/>
      <c r="DR157" s="42"/>
      <c r="DS157" s="42"/>
      <c r="DT157" s="42"/>
      <c r="DU157" s="42"/>
      <c r="DV157" s="42"/>
      <c r="DW157" s="42"/>
      <c r="DX157" s="42"/>
      <c r="DY157" s="42"/>
      <c r="DZ157" s="42"/>
      <c r="EA157" s="42"/>
      <c r="EB157" s="42"/>
      <c r="EC157" s="42"/>
      <c r="ED157" s="42"/>
      <c r="EE157" s="42"/>
      <c r="EF157" s="42"/>
      <c r="EG157" s="42"/>
      <c r="EH157" s="42"/>
      <c r="EI157" s="42"/>
      <c r="EJ157" s="42"/>
      <c r="EK157" s="42"/>
      <c r="EL157" s="42"/>
      <c r="EM157" s="42"/>
      <c r="EN157" s="42"/>
      <c r="EO157" s="42"/>
      <c r="EP157" s="42"/>
      <c r="EQ157" s="42"/>
      <c r="ER157" s="42"/>
      <c r="ES157" s="42"/>
      <c r="ET157" s="42"/>
      <c r="EU157" s="42"/>
      <c r="EV157" s="42"/>
      <c r="EW157" s="42"/>
      <c r="EX157" s="42"/>
      <c r="EY157" s="42"/>
      <c r="EZ157" s="42"/>
      <c r="FA157" s="42"/>
    </row>
    <row r="158" spans="13:157">
      <c r="M158" s="177"/>
      <c r="AP158" s="42"/>
      <c r="AQ158" s="42"/>
      <c r="AR158" s="42"/>
      <c r="AS158" s="42"/>
      <c r="AT158" s="42"/>
      <c r="AU158" s="42"/>
      <c r="AV158" s="42"/>
      <c r="AW158" s="42"/>
      <c r="AX158" s="314">
        <v>153</v>
      </c>
      <c r="AY158" s="166" t="s">
        <v>4</v>
      </c>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157"/>
      <c r="CH158" s="157"/>
      <c r="CI158" s="157"/>
      <c r="CJ158" s="157"/>
      <c r="CK158" s="158"/>
      <c r="CL158" s="158"/>
      <c r="CM158" s="159"/>
      <c r="CN158" s="158"/>
      <c r="CO158" s="158"/>
      <c r="CP158" s="158"/>
      <c r="CQ158" s="158"/>
      <c r="CR158" s="158"/>
      <c r="CS158" s="158"/>
      <c r="CT158" s="158"/>
      <c r="CU158" s="158"/>
      <c r="CV158" s="158"/>
      <c r="CW158" s="158"/>
      <c r="CX158" s="158"/>
      <c r="CY158" s="158"/>
      <c r="CZ158" s="158"/>
      <c r="DA158" s="42"/>
      <c r="DB158" s="42"/>
      <c r="DC158" s="42"/>
      <c r="DD158" s="42"/>
      <c r="DE158" s="42"/>
      <c r="DF158" s="42"/>
      <c r="DG158" s="42"/>
      <c r="DH158" s="42"/>
      <c r="DI158" s="42"/>
      <c r="DJ158" s="42"/>
      <c r="DK158" s="42"/>
      <c r="DL158" s="42"/>
      <c r="DM158" s="42"/>
      <c r="DN158" s="42"/>
      <c r="DO158" s="42"/>
      <c r="DP158" s="42"/>
      <c r="DQ158" s="42"/>
      <c r="DR158" s="42"/>
      <c r="DS158" s="42"/>
      <c r="DT158" s="42"/>
      <c r="DU158" s="42"/>
      <c r="DV158" s="42"/>
      <c r="DW158" s="42"/>
      <c r="DX158" s="42"/>
      <c r="DY158" s="42"/>
      <c r="DZ158" s="42"/>
      <c r="EA158" s="42"/>
      <c r="EB158" s="42"/>
      <c r="EC158" s="42"/>
      <c r="ED158" s="42"/>
      <c r="EE158" s="42"/>
      <c r="EF158" s="42"/>
      <c r="EG158" s="42"/>
      <c r="EH158" s="42"/>
      <c r="EI158" s="42"/>
      <c r="EJ158" s="42"/>
      <c r="EK158" s="42"/>
      <c r="EL158" s="42"/>
      <c r="EM158" s="42"/>
      <c r="EN158" s="42"/>
      <c r="EO158" s="42"/>
      <c r="EP158" s="42"/>
      <c r="EQ158" s="42"/>
      <c r="ER158" s="42"/>
      <c r="ES158" s="42"/>
      <c r="ET158" s="42"/>
      <c r="EU158" s="42"/>
      <c r="EV158" s="42"/>
      <c r="EW158" s="42"/>
      <c r="EX158" s="42"/>
      <c r="EY158" s="42"/>
      <c r="EZ158" s="42"/>
      <c r="FA158" s="42"/>
    </row>
    <row r="159" spans="13:157">
      <c r="M159" s="177"/>
      <c r="AP159" s="42"/>
      <c r="AQ159" s="42"/>
      <c r="AR159" s="42"/>
      <c r="AS159" s="42"/>
      <c r="AT159" s="42"/>
      <c r="AU159" s="42"/>
      <c r="AV159" s="42"/>
      <c r="AW159" s="42"/>
      <c r="AX159" s="314">
        <v>154</v>
      </c>
      <c r="AY159" s="166" t="s">
        <v>4</v>
      </c>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157"/>
      <c r="CH159" s="157"/>
      <c r="CI159" s="157"/>
      <c r="CJ159" s="157"/>
      <c r="CK159" s="158"/>
      <c r="CL159" s="158"/>
      <c r="CM159" s="159"/>
      <c r="CN159" s="158"/>
      <c r="CO159" s="158"/>
      <c r="CP159" s="158"/>
      <c r="CQ159" s="158"/>
      <c r="CR159" s="158"/>
      <c r="CS159" s="158"/>
      <c r="CT159" s="158"/>
      <c r="CU159" s="158"/>
      <c r="CV159" s="158"/>
      <c r="CW159" s="158"/>
      <c r="CX159" s="158"/>
      <c r="CY159" s="158"/>
      <c r="CZ159" s="158"/>
      <c r="DA159" s="42"/>
      <c r="DB159" s="42"/>
      <c r="DC159" s="42"/>
      <c r="DD159" s="42"/>
      <c r="DE159" s="42"/>
      <c r="DF159" s="42"/>
      <c r="DG159" s="42"/>
      <c r="DH159" s="42"/>
      <c r="DI159" s="42"/>
      <c r="DJ159" s="42"/>
      <c r="DK159" s="42"/>
      <c r="DL159" s="42"/>
      <c r="DM159" s="42"/>
      <c r="DN159" s="42"/>
      <c r="DO159" s="42"/>
      <c r="DP159" s="42"/>
      <c r="DQ159" s="42"/>
      <c r="DR159" s="42"/>
      <c r="DS159" s="42"/>
      <c r="DT159" s="42"/>
      <c r="DU159" s="42"/>
      <c r="DV159" s="42"/>
      <c r="DW159" s="42"/>
      <c r="DX159" s="42"/>
      <c r="DY159" s="42"/>
      <c r="DZ159" s="42"/>
      <c r="EA159" s="42"/>
      <c r="EB159" s="42"/>
      <c r="EC159" s="42"/>
      <c r="ED159" s="42"/>
      <c r="EE159" s="42"/>
      <c r="EF159" s="42"/>
      <c r="EG159" s="42"/>
      <c r="EH159" s="42"/>
      <c r="EI159" s="42"/>
      <c r="EJ159" s="42"/>
      <c r="EK159" s="42"/>
      <c r="EL159" s="42"/>
      <c r="EM159" s="42"/>
      <c r="EN159" s="42"/>
      <c r="EO159" s="42"/>
      <c r="EP159" s="42"/>
      <c r="ES159" s="42"/>
      <c r="ET159" s="42"/>
      <c r="EU159" s="42"/>
      <c r="EV159" s="42"/>
      <c r="EW159" s="42"/>
      <c r="EX159" s="42"/>
      <c r="EY159" s="42"/>
      <c r="EZ159" s="42"/>
      <c r="FA159" s="42"/>
    </row>
    <row r="160" spans="13:157">
      <c r="M160" s="177"/>
      <c r="AP160" s="42"/>
      <c r="AQ160" s="42"/>
      <c r="AR160" s="42"/>
      <c r="AS160" s="42"/>
      <c r="AT160" s="42"/>
      <c r="AU160" s="42"/>
      <c r="AV160" s="42"/>
      <c r="AW160" s="42"/>
      <c r="AX160" s="314">
        <v>155</v>
      </c>
      <c r="AY160" s="166" t="s">
        <v>4</v>
      </c>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157"/>
      <c r="CH160" s="157"/>
      <c r="CI160" s="157"/>
      <c r="CJ160" s="157"/>
      <c r="CK160" s="158"/>
      <c r="CL160" s="158"/>
      <c r="CM160" s="159"/>
      <c r="CN160" s="158"/>
      <c r="CO160" s="158"/>
      <c r="CP160" s="158"/>
      <c r="CQ160" s="158"/>
      <c r="CR160" s="158"/>
      <c r="CS160" s="158"/>
      <c r="CT160" s="158"/>
      <c r="CU160" s="158"/>
      <c r="CV160" s="158"/>
      <c r="CW160" s="158"/>
      <c r="CX160" s="158"/>
      <c r="CY160" s="158"/>
      <c r="CZ160" s="158"/>
      <c r="DA160" s="42"/>
      <c r="DB160" s="42"/>
      <c r="DC160" s="42"/>
      <c r="DD160" s="42"/>
      <c r="DE160" s="42"/>
      <c r="DF160" s="42"/>
      <c r="DG160" s="42"/>
      <c r="DH160" s="42"/>
      <c r="DI160" s="42"/>
      <c r="DJ160" s="42"/>
      <c r="DK160" s="42"/>
      <c r="DL160" s="42"/>
      <c r="DM160" s="42"/>
      <c r="DN160" s="42"/>
      <c r="DO160" s="42"/>
      <c r="DP160" s="42"/>
      <c r="DQ160" s="42"/>
      <c r="DR160" s="42"/>
      <c r="DS160" s="42"/>
      <c r="DT160" s="42"/>
      <c r="DU160" s="42"/>
      <c r="DV160" s="42"/>
      <c r="DW160" s="42"/>
      <c r="DX160" s="42"/>
      <c r="DY160" s="42"/>
      <c r="DZ160" s="42"/>
      <c r="EA160" s="42"/>
      <c r="EB160" s="42"/>
      <c r="EC160" s="42"/>
      <c r="ED160" s="42"/>
      <c r="EE160" s="42"/>
      <c r="EF160" s="42"/>
      <c r="EG160" s="42"/>
      <c r="EH160" s="42"/>
      <c r="EI160" s="42"/>
      <c r="EJ160" s="42"/>
      <c r="EK160" s="42"/>
      <c r="EL160" s="42"/>
      <c r="EM160" s="42"/>
      <c r="EN160" s="42"/>
      <c r="EO160" s="42"/>
      <c r="ES160" s="42"/>
      <c r="ET160" s="42"/>
      <c r="EU160" s="42"/>
      <c r="EV160" s="42"/>
      <c r="EW160" s="42"/>
      <c r="EX160" s="42"/>
      <c r="EY160" s="42"/>
      <c r="EZ160" s="42"/>
      <c r="FA160" s="42"/>
    </row>
    <row r="161" spans="13:157">
      <c r="M161" s="177"/>
      <c r="AP161" s="42"/>
      <c r="AQ161" s="42"/>
      <c r="AR161" s="42"/>
      <c r="AS161" s="42"/>
      <c r="AT161" s="42"/>
      <c r="AU161" s="42"/>
      <c r="AV161" s="42"/>
      <c r="AW161" s="42"/>
      <c r="AX161" s="314">
        <v>156</v>
      </c>
      <c r="AY161" s="166" t="s">
        <v>4</v>
      </c>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157"/>
      <c r="CH161" s="157"/>
      <c r="CI161" s="157"/>
      <c r="CJ161" s="157"/>
      <c r="CK161" s="158"/>
      <c r="CL161" s="158"/>
      <c r="CM161" s="159"/>
      <c r="CN161" s="158"/>
      <c r="CO161" s="158"/>
      <c r="CP161" s="158"/>
      <c r="CQ161" s="158"/>
      <c r="CR161" s="158"/>
      <c r="CS161" s="158"/>
      <c r="CT161" s="158"/>
      <c r="CU161" s="158"/>
      <c r="CV161" s="158"/>
      <c r="CW161" s="158"/>
      <c r="CX161" s="158"/>
      <c r="CY161" s="158"/>
      <c r="CZ161" s="158"/>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S161" s="42"/>
      <c r="ET161" s="42"/>
      <c r="EU161" s="42"/>
      <c r="EV161" s="42"/>
      <c r="EW161" s="42"/>
      <c r="EX161" s="42"/>
      <c r="EY161" s="42"/>
      <c r="EZ161" s="42"/>
      <c r="FA161" s="42"/>
    </row>
    <row r="162" spans="13:157">
      <c r="M162" s="177"/>
      <c r="AP162" s="42"/>
      <c r="AQ162" s="42"/>
      <c r="AR162" s="42"/>
      <c r="AS162" s="42"/>
      <c r="AT162" s="42"/>
      <c r="AU162" s="42"/>
      <c r="AV162" s="42"/>
      <c r="AW162" s="42"/>
      <c r="AX162" s="314">
        <v>157</v>
      </c>
      <c r="AY162" s="166" t="s">
        <v>4</v>
      </c>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157"/>
      <c r="CH162" s="157"/>
      <c r="CI162" s="157"/>
      <c r="CJ162" s="157"/>
      <c r="CK162" s="158"/>
      <c r="CL162" s="158"/>
      <c r="CM162" s="159"/>
      <c r="CN162" s="158"/>
      <c r="CO162" s="158"/>
      <c r="CP162" s="158"/>
      <c r="CQ162" s="158"/>
      <c r="CR162" s="158"/>
      <c r="CS162" s="158"/>
      <c r="CT162" s="158"/>
      <c r="CU162" s="158"/>
      <c r="CV162" s="158"/>
      <c r="CW162" s="158"/>
      <c r="CX162" s="158"/>
      <c r="CY162" s="158"/>
      <c r="CZ162" s="158"/>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S162" s="42"/>
      <c r="ET162" s="42"/>
      <c r="EU162" s="42"/>
      <c r="EV162" s="42"/>
      <c r="EW162" s="42"/>
      <c r="EX162" s="42"/>
      <c r="EY162" s="42"/>
      <c r="EZ162" s="42"/>
      <c r="FA162" s="42"/>
    </row>
    <row r="163" spans="13:157">
      <c r="M163" s="177"/>
      <c r="AP163" s="42"/>
      <c r="AQ163" s="42"/>
      <c r="AR163" s="42"/>
      <c r="AS163" s="42"/>
      <c r="AT163" s="42"/>
      <c r="AU163" s="42"/>
      <c r="AV163" s="42"/>
      <c r="AW163" s="42"/>
      <c r="AX163" s="314">
        <v>158</v>
      </c>
      <c r="AY163" s="166" t="s">
        <v>4</v>
      </c>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157"/>
      <c r="CH163" s="157"/>
      <c r="CI163" s="157"/>
      <c r="CJ163" s="157"/>
      <c r="CK163" s="158"/>
      <c r="CL163" s="158"/>
      <c r="CM163" s="159"/>
      <c r="CN163" s="158"/>
      <c r="CO163" s="158"/>
      <c r="CP163" s="158"/>
      <c r="CQ163" s="158"/>
      <c r="CR163" s="158"/>
      <c r="CS163" s="158"/>
      <c r="CT163" s="158"/>
      <c r="CU163" s="158"/>
      <c r="CV163" s="158"/>
      <c r="CW163" s="158"/>
      <c r="CX163" s="158"/>
      <c r="CY163" s="158"/>
      <c r="CZ163" s="158"/>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S163" s="42"/>
      <c r="ET163" s="42"/>
      <c r="EU163" s="42"/>
      <c r="EV163" s="42"/>
      <c r="EW163" s="42"/>
      <c r="EX163" s="42"/>
      <c r="EY163" s="42"/>
      <c r="EZ163" s="42"/>
      <c r="FA163" s="42"/>
    </row>
    <row r="164" spans="13:157">
      <c r="M164" s="177"/>
      <c r="AP164" s="42"/>
      <c r="AQ164" s="42"/>
      <c r="AR164" s="42"/>
      <c r="AS164" s="42"/>
      <c r="AT164" s="42"/>
      <c r="AU164" s="42"/>
      <c r="AV164" s="42"/>
      <c r="AW164" s="42"/>
      <c r="AX164" s="314">
        <v>159</v>
      </c>
      <c r="AY164" s="166" t="s">
        <v>4</v>
      </c>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157"/>
      <c r="CH164" s="157"/>
      <c r="CI164" s="157"/>
      <c r="CJ164" s="157"/>
      <c r="CK164" s="158"/>
      <c r="CL164" s="158"/>
      <c r="CM164" s="159"/>
      <c r="CN164" s="158"/>
      <c r="CO164" s="158"/>
      <c r="CP164" s="158"/>
      <c r="CQ164" s="158"/>
      <c r="CR164" s="158"/>
      <c r="CS164" s="158"/>
      <c r="CT164" s="158"/>
      <c r="CU164" s="158"/>
      <c r="CV164" s="158"/>
      <c r="CW164" s="158"/>
      <c r="CX164" s="158"/>
      <c r="CY164" s="158"/>
      <c r="CZ164" s="158"/>
      <c r="DA164" s="42"/>
      <c r="DB164" s="42"/>
      <c r="DC164" s="42"/>
      <c r="DD164" s="42"/>
      <c r="DE164" s="42"/>
      <c r="DF164" s="42"/>
      <c r="DG164" s="42"/>
      <c r="DH164" s="42"/>
      <c r="DI164" s="42"/>
      <c r="DJ164" s="42"/>
      <c r="DK164" s="42"/>
      <c r="DL164" s="42"/>
      <c r="DM164" s="42"/>
      <c r="DN164" s="42"/>
      <c r="DO164" s="42"/>
      <c r="DP164" s="42"/>
      <c r="DQ164" s="42"/>
      <c r="DR164" s="42"/>
      <c r="DS164" s="42"/>
      <c r="DT164" s="42"/>
      <c r="DU164" s="42"/>
      <c r="DV164" s="42"/>
      <c r="DW164" s="42"/>
      <c r="DX164" s="42"/>
      <c r="DY164" s="42"/>
      <c r="DZ164" s="42"/>
      <c r="EA164" s="42"/>
      <c r="EB164" s="42"/>
      <c r="EC164" s="42"/>
      <c r="ED164" s="42"/>
      <c r="EE164" s="42"/>
      <c r="EF164" s="42"/>
      <c r="EG164" s="42"/>
      <c r="EH164" s="42"/>
      <c r="EI164" s="42"/>
      <c r="EJ164" s="42"/>
      <c r="EK164" s="42"/>
      <c r="EL164" s="42"/>
      <c r="EM164" s="42"/>
      <c r="EN164" s="42"/>
      <c r="EO164" s="42"/>
      <c r="ES164" s="42"/>
      <c r="ET164" s="42"/>
      <c r="EU164" s="42"/>
      <c r="EV164" s="42"/>
      <c r="EW164" s="42"/>
      <c r="EX164" s="42"/>
      <c r="EY164" s="42"/>
      <c r="EZ164" s="42"/>
      <c r="FA164" s="42"/>
    </row>
    <row r="165" spans="13:157">
      <c r="M165" s="177"/>
      <c r="AP165" s="42"/>
      <c r="AQ165" s="42"/>
      <c r="AR165" s="42"/>
      <c r="AS165" s="42"/>
      <c r="AT165" s="42"/>
      <c r="AU165" s="42"/>
      <c r="AV165" s="42"/>
      <c r="AW165" s="42"/>
      <c r="AX165" s="314">
        <v>160</v>
      </c>
      <c r="AY165" s="166" t="s">
        <v>4</v>
      </c>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157"/>
      <c r="CH165" s="157"/>
      <c r="CI165" s="157"/>
      <c r="CJ165" s="157"/>
      <c r="CK165" s="158"/>
      <c r="CL165" s="158"/>
      <c r="CM165" s="159"/>
      <c r="CN165" s="158"/>
      <c r="CO165" s="158"/>
      <c r="CP165" s="158"/>
      <c r="CQ165" s="158"/>
      <c r="CR165" s="158"/>
      <c r="CS165" s="158"/>
      <c r="CT165" s="158"/>
      <c r="CU165" s="158"/>
      <c r="CV165" s="158"/>
      <c r="CW165" s="158"/>
      <c r="CX165" s="158"/>
      <c r="CY165" s="158"/>
      <c r="CZ165" s="158"/>
      <c r="DA165" s="42"/>
      <c r="DB165" s="42"/>
      <c r="DC165" s="42"/>
      <c r="DD165" s="42"/>
      <c r="DE165" s="42"/>
      <c r="DF165" s="42"/>
      <c r="DG165" s="42"/>
      <c r="DH165" s="42"/>
      <c r="DI165" s="42"/>
      <c r="DJ165" s="42"/>
      <c r="DK165" s="42"/>
      <c r="DL165" s="42"/>
      <c r="DM165" s="42"/>
      <c r="DN165" s="42"/>
      <c r="DO165" s="42"/>
      <c r="DP165" s="42"/>
      <c r="DQ165" s="42"/>
      <c r="DR165" s="42"/>
      <c r="DS165" s="42"/>
      <c r="DT165" s="42"/>
      <c r="DU165" s="42"/>
      <c r="DV165" s="42"/>
      <c r="DW165" s="42"/>
      <c r="DX165" s="42"/>
      <c r="DY165" s="42"/>
      <c r="DZ165" s="42"/>
      <c r="EA165" s="42"/>
      <c r="EB165" s="42"/>
      <c r="EC165" s="42"/>
      <c r="ED165" s="42"/>
      <c r="EE165" s="42"/>
      <c r="EF165" s="42"/>
      <c r="EG165" s="42"/>
      <c r="EH165" s="42"/>
      <c r="EI165" s="42"/>
      <c r="EJ165" s="42"/>
      <c r="EK165" s="42"/>
      <c r="EL165" s="42"/>
      <c r="EM165" s="42"/>
      <c r="EN165" s="42"/>
      <c r="EO165" s="42"/>
      <c r="ES165" s="42"/>
      <c r="ET165" s="42"/>
      <c r="EU165" s="42"/>
      <c r="EV165" s="42"/>
      <c r="EW165" s="42"/>
      <c r="EX165" s="42"/>
      <c r="EY165" s="42"/>
      <c r="EZ165" s="42"/>
      <c r="FA165" s="42"/>
    </row>
    <row r="166" spans="13:157">
      <c r="M166" s="177"/>
      <c r="AP166" s="42"/>
      <c r="AQ166" s="42"/>
      <c r="AR166" s="42"/>
      <c r="AS166" s="42"/>
      <c r="AT166" s="42"/>
      <c r="AU166" s="42"/>
      <c r="AV166" s="42"/>
      <c r="AW166" s="42"/>
      <c r="AX166" s="314">
        <v>161</v>
      </c>
      <c r="AY166" s="166" t="s">
        <v>4</v>
      </c>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157"/>
      <c r="CH166" s="157"/>
      <c r="CI166" s="157"/>
      <c r="CJ166" s="157"/>
      <c r="CK166" s="158"/>
      <c r="CL166" s="158"/>
      <c r="CM166" s="159"/>
      <c r="CN166" s="158"/>
      <c r="CO166" s="158"/>
      <c r="CP166" s="158"/>
      <c r="CQ166" s="158"/>
      <c r="CR166" s="158"/>
      <c r="CS166" s="158"/>
      <c r="CT166" s="158"/>
      <c r="CU166" s="158"/>
      <c r="CV166" s="158"/>
      <c r="CW166" s="158"/>
      <c r="CX166" s="158"/>
      <c r="CY166" s="158"/>
      <c r="CZ166" s="158"/>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T166" s="42"/>
      <c r="EU166" s="42"/>
      <c r="EV166" s="42"/>
      <c r="EW166" s="42"/>
      <c r="EX166" s="42"/>
      <c r="EY166" s="42"/>
      <c r="EZ166" s="42"/>
      <c r="FA166" s="42"/>
    </row>
    <row r="167" spans="13:157">
      <c r="M167" s="177"/>
      <c r="AP167" s="42"/>
      <c r="AQ167" s="42"/>
      <c r="AR167" s="42"/>
      <c r="AS167" s="42"/>
      <c r="AT167" s="42"/>
      <c r="AU167" s="42"/>
      <c r="AV167" s="42"/>
      <c r="AW167" s="42"/>
      <c r="AX167" s="314">
        <v>162</v>
      </c>
      <c r="AY167" s="166" t="s">
        <v>4</v>
      </c>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157"/>
      <c r="CH167" s="157"/>
      <c r="CI167" s="157"/>
      <c r="CJ167" s="157"/>
      <c r="CK167" s="158"/>
      <c r="CL167" s="158"/>
      <c r="CM167" s="159"/>
      <c r="CN167" s="158"/>
      <c r="CO167" s="158"/>
      <c r="CP167" s="158"/>
      <c r="CQ167" s="158"/>
      <c r="CR167" s="158"/>
      <c r="CS167" s="158"/>
      <c r="CT167" s="158"/>
      <c r="CU167" s="158"/>
      <c r="CV167" s="158"/>
      <c r="CW167" s="158"/>
      <c r="CX167" s="158"/>
      <c r="CY167" s="158"/>
      <c r="CZ167" s="158"/>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T167" s="42"/>
      <c r="EU167" s="42"/>
      <c r="EV167" s="42"/>
      <c r="EW167" s="42"/>
      <c r="EX167" s="42"/>
      <c r="EY167" s="42"/>
      <c r="FA167" s="42"/>
    </row>
    <row r="168" spans="13:157">
      <c r="M168" s="177"/>
      <c r="AP168" s="42"/>
      <c r="AQ168" s="42"/>
      <c r="AR168" s="42"/>
      <c r="AS168" s="42"/>
      <c r="AT168" s="42"/>
      <c r="AU168" s="42"/>
      <c r="AV168" s="42"/>
      <c r="AW168" s="42"/>
      <c r="AX168" s="314">
        <v>163</v>
      </c>
      <c r="AY168" s="166" t="s">
        <v>4</v>
      </c>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157"/>
      <c r="CH168" s="157"/>
      <c r="CI168" s="157"/>
      <c r="CJ168" s="157"/>
      <c r="CK168" s="158"/>
      <c r="CL168" s="158"/>
      <c r="CM168" s="159"/>
      <c r="CN168" s="158"/>
      <c r="CO168" s="158"/>
      <c r="CP168" s="158"/>
      <c r="CQ168" s="158"/>
      <c r="CR168" s="158"/>
      <c r="CS168" s="158"/>
      <c r="CT168" s="158"/>
      <c r="CU168" s="158"/>
      <c r="CV168" s="158"/>
      <c r="CW168" s="158"/>
      <c r="CX168" s="158"/>
      <c r="CY168" s="158"/>
      <c r="CZ168" s="158"/>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T168" s="42"/>
      <c r="EU168" s="42"/>
      <c r="EV168" s="42"/>
      <c r="EX168" s="42"/>
      <c r="FA168" s="42"/>
    </row>
    <row r="169" spans="13:157">
      <c r="M169" s="177"/>
      <c r="AP169" s="42"/>
      <c r="AQ169" s="42"/>
      <c r="AR169" s="42"/>
      <c r="AS169" s="42"/>
      <c r="AT169" s="42"/>
      <c r="AU169" s="42"/>
      <c r="AV169" s="42"/>
      <c r="AW169" s="42"/>
      <c r="AX169" s="314">
        <v>164</v>
      </c>
      <c r="AY169" s="166" t="s">
        <v>4</v>
      </c>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157"/>
      <c r="CH169" s="157"/>
      <c r="CI169" s="157"/>
      <c r="CJ169" s="157"/>
      <c r="CK169" s="158"/>
      <c r="CL169" s="158"/>
      <c r="CM169" s="159"/>
      <c r="CN169" s="158"/>
      <c r="CO169" s="158"/>
      <c r="CP169" s="158"/>
      <c r="CQ169" s="158"/>
      <c r="CR169" s="158"/>
      <c r="CS169" s="158"/>
      <c r="CT169" s="158"/>
      <c r="CU169" s="158"/>
      <c r="CV169" s="158"/>
      <c r="CW169" s="158"/>
      <c r="CX169" s="158"/>
      <c r="CY169" s="158"/>
      <c r="CZ169" s="158"/>
      <c r="DA169" s="42"/>
      <c r="DB169" s="42"/>
      <c r="DC169" s="42"/>
      <c r="DD169" s="42"/>
      <c r="DE169" s="42"/>
      <c r="DF169" s="42"/>
      <c r="DG169" s="42"/>
      <c r="DH169" s="42"/>
      <c r="DI169" s="42"/>
      <c r="DJ169" s="42"/>
      <c r="DK169" s="42"/>
      <c r="DL169" s="42"/>
      <c r="DM169" s="42"/>
      <c r="DN169" s="42"/>
      <c r="DO169" s="42"/>
      <c r="DP169" s="42"/>
      <c r="DQ169" s="42"/>
      <c r="DR169" s="42"/>
      <c r="DS169" s="42"/>
      <c r="DT169" s="42"/>
      <c r="DU169" s="42"/>
      <c r="DV169" s="42"/>
      <c r="DW169" s="42"/>
      <c r="DX169" s="42"/>
      <c r="DY169" s="42"/>
      <c r="DZ169" s="42"/>
      <c r="EA169" s="42"/>
      <c r="EB169" s="42"/>
      <c r="EC169" s="42"/>
      <c r="ED169" s="42"/>
      <c r="EE169" s="42"/>
      <c r="EF169" s="42"/>
      <c r="EG169" s="42"/>
      <c r="EH169" s="42"/>
      <c r="EI169" s="42"/>
      <c r="EJ169" s="42"/>
      <c r="EK169" s="42"/>
      <c r="EL169" s="42"/>
      <c r="EM169" s="42"/>
      <c r="EN169" s="42"/>
      <c r="EO169" s="42"/>
      <c r="ET169" s="42"/>
      <c r="EU169" s="42"/>
      <c r="EX169" s="42"/>
    </row>
    <row r="170" spans="13:157">
      <c r="M170" s="177"/>
      <c r="AP170" s="42"/>
      <c r="AQ170" s="42"/>
      <c r="AR170" s="42"/>
      <c r="AS170" s="42"/>
      <c r="AT170" s="42"/>
      <c r="AU170" s="42"/>
      <c r="AV170" s="42"/>
      <c r="AW170" s="42"/>
      <c r="AX170" s="314">
        <v>165</v>
      </c>
      <c r="AY170" s="166" t="s">
        <v>4</v>
      </c>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157"/>
      <c r="CH170" s="157"/>
      <c r="CI170" s="157"/>
      <c r="CJ170" s="157"/>
      <c r="CK170" s="158"/>
      <c r="CL170" s="158"/>
      <c r="CM170" s="159"/>
      <c r="CN170" s="158"/>
      <c r="CO170" s="158"/>
      <c r="CP170" s="158"/>
      <c r="CQ170" s="158"/>
      <c r="CR170" s="158"/>
      <c r="CS170" s="158"/>
      <c r="CT170" s="158"/>
      <c r="CU170" s="158"/>
      <c r="CV170" s="158"/>
      <c r="CW170" s="158"/>
      <c r="CX170" s="158"/>
      <c r="CY170" s="158"/>
      <c r="CZ170" s="158"/>
      <c r="DA170" s="42"/>
      <c r="DB170" s="42"/>
      <c r="DC170" s="42"/>
      <c r="DD170" s="42"/>
      <c r="DE170" s="42"/>
      <c r="DF170" s="42"/>
      <c r="DG170" s="42"/>
      <c r="DH170" s="42"/>
      <c r="DI170" s="42"/>
      <c r="DJ170" s="42"/>
      <c r="DK170" s="42"/>
      <c r="DL170" s="42"/>
      <c r="DM170" s="42"/>
      <c r="DN170" s="42"/>
      <c r="DO170" s="42"/>
      <c r="DP170" s="42"/>
      <c r="DQ170" s="42"/>
      <c r="DR170" s="42"/>
      <c r="DS170" s="42"/>
      <c r="DT170" s="42"/>
      <c r="DU170" s="42"/>
      <c r="DV170" s="42"/>
      <c r="DW170" s="42"/>
      <c r="DX170" s="42"/>
      <c r="DY170" s="42"/>
      <c r="DZ170" s="42"/>
      <c r="EA170" s="42"/>
      <c r="EB170" s="42"/>
      <c r="EC170" s="42"/>
      <c r="ED170" s="42"/>
      <c r="EE170" s="42"/>
      <c r="EF170" s="42"/>
      <c r="EG170" s="42"/>
      <c r="EH170" s="42"/>
      <c r="EI170" s="42"/>
      <c r="EJ170" s="42"/>
      <c r="EK170" s="42"/>
      <c r="EL170" s="42"/>
      <c r="EM170" s="42"/>
      <c r="EN170" s="42"/>
      <c r="EO170" s="42"/>
      <c r="ET170" s="42"/>
      <c r="EU170" s="42"/>
      <c r="EX170" s="42"/>
    </row>
    <row r="171" spans="13:157">
      <c r="M171" s="177"/>
      <c r="AP171" s="42"/>
      <c r="AQ171" s="42"/>
      <c r="AR171" s="42"/>
      <c r="AS171" s="42"/>
      <c r="AT171" s="42"/>
      <c r="AU171" s="42"/>
      <c r="AV171" s="42"/>
      <c r="AW171" s="42"/>
      <c r="AX171" s="314">
        <v>166</v>
      </c>
      <c r="AY171" s="166" t="s">
        <v>4</v>
      </c>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157"/>
      <c r="CH171" s="157"/>
      <c r="CI171" s="157"/>
      <c r="CJ171" s="157"/>
      <c r="CK171" s="158"/>
      <c r="CL171" s="158"/>
      <c r="CM171" s="159"/>
      <c r="CN171" s="158"/>
      <c r="CO171" s="158"/>
      <c r="CP171" s="158"/>
      <c r="CQ171" s="158"/>
      <c r="CR171" s="158"/>
      <c r="CS171" s="158"/>
      <c r="CT171" s="158"/>
      <c r="CU171" s="158"/>
      <c r="CV171" s="158"/>
      <c r="CW171" s="158"/>
      <c r="CX171" s="158"/>
      <c r="CY171" s="158"/>
      <c r="CZ171" s="158"/>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T171" s="42"/>
      <c r="EU171" s="42"/>
    </row>
    <row r="172" spans="13:157">
      <c r="M172" s="177"/>
      <c r="AP172" s="42"/>
      <c r="AQ172" s="42"/>
      <c r="AR172" s="42"/>
      <c r="AS172" s="42"/>
      <c r="AT172" s="42"/>
      <c r="AU172" s="42"/>
      <c r="AV172" s="42"/>
      <c r="AW172" s="42"/>
      <c r="AX172" s="314">
        <v>167</v>
      </c>
      <c r="AY172" s="166" t="s">
        <v>4</v>
      </c>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157"/>
      <c r="CH172" s="157"/>
      <c r="CI172" s="157"/>
      <c r="CJ172" s="157"/>
      <c r="CK172" s="158"/>
      <c r="CL172" s="158"/>
      <c r="CM172" s="159"/>
      <c r="CN172" s="158"/>
      <c r="CO172" s="158"/>
      <c r="CP172" s="158"/>
      <c r="CQ172" s="158"/>
      <c r="CR172" s="158"/>
      <c r="CS172" s="158"/>
      <c r="CT172" s="158"/>
      <c r="CU172" s="158"/>
      <c r="CV172" s="158"/>
      <c r="CW172" s="158"/>
      <c r="CX172" s="158"/>
      <c r="CY172" s="158"/>
      <c r="CZ172" s="158"/>
      <c r="DA172" s="42"/>
      <c r="DB172" s="42"/>
      <c r="DC172" s="42"/>
      <c r="DD172" s="42"/>
      <c r="DE172" s="42"/>
      <c r="DF172" s="42"/>
      <c r="DG172" s="42"/>
      <c r="DH172" s="42"/>
      <c r="DI172" s="42"/>
      <c r="DJ172" s="42"/>
      <c r="DK172" s="42"/>
      <c r="DL172" s="42"/>
      <c r="DM172" s="42"/>
      <c r="DN172" s="42"/>
      <c r="DO172" s="42"/>
      <c r="DP172" s="42"/>
      <c r="DQ172" s="42"/>
      <c r="DR172" s="42"/>
      <c r="DS172" s="42"/>
      <c r="DT172" s="42"/>
      <c r="DU172" s="42"/>
      <c r="DV172" s="42"/>
      <c r="DW172" s="42"/>
      <c r="DX172" s="42"/>
      <c r="DY172" s="42"/>
      <c r="DZ172" s="42"/>
      <c r="EA172" s="42"/>
      <c r="EB172" s="42"/>
      <c r="EC172" s="42"/>
      <c r="ED172" s="42"/>
      <c r="EE172" s="42"/>
      <c r="EF172" s="42"/>
      <c r="EG172" s="42"/>
      <c r="EH172" s="42"/>
      <c r="EI172" s="42"/>
      <c r="EJ172" s="42"/>
      <c r="EK172" s="42"/>
      <c r="EL172" s="42"/>
      <c r="EM172" s="42"/>
      <c r="EN172" s="42"/>
      <c r="EO172" s="42"/>
      <c r="ET172" s="42"/>
      <c r="EU172" s="42"/>
    </row>
    <row r="173" spans="13:157" ht="15" thickBot="1">
      <c r="M173" s="177"/>
      <c r="AP173" s="42"/>
      <c r="AQ173" s="42"/>
      <c r="AR173" s="42"/>
      <c r="AS173" s="42"/>
      <c r="AT173" s="42"/>
      <c r="AU173" s="42"/>
      <c r="AV173" s="42"/>
      <c r="AW173" s="42"/>
      <c r="AX173" s="340">
        <v>168</v>
      </c>
      <c r="AY173" s="178" t="s">
        <v>4</v>
      </c>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157"/>
      <c r="CH173" s="157"/>
      <c r="CI173" s="157"/>
      <c r="CJ173" s="157"/>
      <c r="CK173" s="158"/>
      <c r="CL173" s="158"/>
      <c r="CM173" s="159"/>
      <c r="CN173" s="158"/>
      <c r="CO173" s="158"/>
      <c r="CP173" s="158"/>
      <c r="CQ173" s="158"/>
      <c r="CR173" s="158"/>
      <c r="CS173" s="158"/>
      <c r="CT173" s="158"/>
      <c r="CU173" s="158"/>
      <c r="CV173" s="158"/>
      <c r="CW173" s="158"/>
      <c r="CX173" s="158"/>
      <c r="CY173" s="158"/>
      <c r="CZ173" s="158"/>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T173" s="42"/>
      <c r="EU173" s="42"/>
    </row>
    <row r="174" spans="13:157">
      <c r="M174" s="177"/>
      <c r="AP174" s="42"/>
      <c r="AQ174" s="42"/>
      <c r="AR174" s="42"/>
      <c r="AS174" s="42"/>
      <c r="CG174" s="157"/>
      <c r="CH174" s="157"/>
      <c r="CI174" s="157"/>
      <c r="CJ174" s="157"/>
      <c r="CK174" s="158"/>
      <c r="CL174" s="158"/>
      <c r="CM174" s="159"/>
      <c r="CN174" s="158"/>
      <c r="CO174" s="158"/>
      <c r="CP174" s="158"/>
      <c r="CQ174" s="158"/>
      <c r="CR174" s="158"/>
      <c r="CS174" s="158"/>
      <c r="CT174" s="158"/>
      <c r="CU174" s="158"/>
      <c r="CV174" s="158"/>
      <c r="CW174" s="158"/>
      <c r="CX174" s="158"/>
      <c r="CY174" s="158"/>
      <c r="CZ174" s="158"/>
    </row>
    <row r="175" spans="13:157">
      <c r="M175" s="177"/>
      <c r="AP175" s="42"/>
      <c r="AQ175" s="42"/>
      <c r="AR175" s="42"/>
      <c r="AS175" s="42"/>
      <c r="CG175" s="157"/>
      <c r="CH175" s="157"/>
      <c r="CI175" s="157"/>
      <c r="CJ175" s="157"/>
      <c r="CK175" s="158"/>
      <c r="CL175" s="158"/>
      <c r="CM175" s="159"/>
      <c r="CN175" s="158"/>
      <c r="CO175" s="158"/>
      <c r="CP175" s="158"/>
      <c r="CQ175" s="158"/>
      <c r="CR175" s="158"/>
      <c r="CS175" s="158"/>
      <c r="CT175" s="158"/>
      <c r="CU175" s="158"/>
      <c r="CV175" s="158"/>
      <c r="CW175" s="158"/>
      <c r="CX175" s="158"/>
      <c r="CY175" s="158"/>
      <c r="CZ175" s="158"/>
    </row>
    <row r="176" spans="13:157">
      <c r="M176" s="177"/>
      <c r="AP176" s="42"/>
      <c r="AQ176" s="42"/>
      <c r="AR176" s="42"/>
      <c r="AS176" s="42"/>
      <c r="CG176" s="157"/>
      <c r="CH176" s="157"/>
      <c r="CI176" s="157"/>
      <c r="CJ176" s="157"/>
      <c r="CK176" s="158"/>
      <c r="CL176" s="158"/>
      <c r="CM176" s="159"/>
      <c r="CN176" s="158"/>
      <c r="CO176" s="158"/>
      <c r="CP176" s="158"/>
      <c r="CQ176" s="158"/>
      <c r="CR176" s="158"/>
      <c r="CS176" s="158"/>
      <c r="CT176" s="158"/>
      <c r="CU176" s="158"/>
      <c r="CV176" s="158"/>
      <c r="CW176" s="158"/>
      <c r="CX176" s="158"/>
      <c r="CY176" s="158"/>
      <c r="CZ176" s="158"/>
    </row>
    <row r="177" spans="13:104">
      <c r="M177" s="177"/>
      <c r="AP177" s="42"/>
      <c r="AQ177" s="42"/>
      <c r="AR177" s="42"/>
      <c r="AS177" s="42"/>
      <c r="CG177" s="157"/>
      <c r="CH177" s="157"/>
      <c r="CI177" s="157"/>
      <c r="CJ177" s="157"/>
      <c r="CK177" s="158"/>
      <c r="CL177" s="158"/>
      <c r="CM177" s="159"/>
      <c r="CN177" s="158"/>
      <c r="CO177" s="158"/>
      <c r="CP177" s="158"/>
      <c r="CQ177" s="158"/>
      <c r="CR177" s="158"/>
      <c r="CS177" s="158"/>
      <c r="CT177" s="158"/>
      <c r="CU177" s="158"/>
      <c r="CV177" s="158"/>
      <c r="CW177" s="158"/>
      <c r="CX177" s="158"/>
      <c r="CY177" s="158"/>
      <c r="CZ177" s="158"/>
    </row>
    <row r="178" spans="13:104">
      <c r="M178" s="177"/>
      <c r="AP178" s="42"/>
      <c r="AQ178" s="42"/>
      <c r="AR178" s="42"/>
      <c r="AS178" s="42"/>
      <c r="CG178" s="157"/>
      <c r="CH178" s="157"/>
      <c r="CI178" s="157"/>
      <c r="CJ178" s="157"/>
      <c r="CK178" s="158"/>
      <c r="CL178" s="158"/>
      <c r="CM178" s="159"/>
      <c r="CN178" s="158"/>
      <c r="CO178" s="158"/>
      <c r="CP178" s="158"/>
      <c r="CQ178" s="158"/>
      <c r="CR178" s="158"/>
      <c r="CS178" s="158"/>
      <c r="CT178" s="158"/>
      <c r="CU178" s="158"/>
      <c r="CV178" s="158"/>
      <c r="CW178" s="158"/>
      <c r="CX178" s="158"/>
      <c r="CY178" s="158"/>
      <c r="CZ178" s="158"/>
    </row>
    <row r="179" spans="13:104">
      <c r="M179" s="177"/>
      <c r="AP179" s="42"/>
      <c r="AQ179" s="42"/>
      <c r="AR179" s="42"/>
      <c r="AS179" s="42"/>
      <c r="CG179" s="157"/>
      <c r="CH179" s="157"/>
      <c r="CI179" s="157"/>
      <c r="CJ179" s="157"/>
      <c r="CK179" s="158"/>
      <c r="CL179" s="158"/>
      <c r="CM179" s="159"/>
      <c r="CN179" s="158"/>
      <c r="CO179" s="158"/>
      <c r="CP179" s="158"/>
      <c r="CQ179" s="158"/>
      <c r="CR179" s="158"/>
      <c r="CS179" s="158"/>
      <c r="CT179" s="158"/>
      <c r="CU179" s="158"/>
      <c r="CV179" s="158"/>
      <c r="CW179" s="158"/>
      <c r="CX179" s="158"/>
      <c r="CY179" s="158"/>
      <c r="CZ179" s="158"/>
    </row>
    <row r="180" spans="13:104">
      <c r="M180" s="177"/>
      <c r="AP180" s="42"/>
      <c r="AQ180" s="42"/>
      <c r="AR180" s="42"/>
      <c r="AS180" s="42"/>
      <c r="CG180" s="157"/>
      <c r="CH180" s="157"/>
      <c r="CI180" s="157"/>
      <c r="CJ180" s="157"/>
      <c r="CK180" s="158"/>
      <c r="CL180" s="158"/>
      <c r="CM180" s="159"/>
      <c r="CN180" s="158"/>
      <c r="CO180" s="158"/>
      <c r="CP180" s="158"/>
      <c r="CQ180" s="158"/>
      <c r="CR180" s="158"/>
      <c r="CS180" s="158"/>
      <c r="CT180" s="158"/>
      <c r="CU180" s="158"/>
      <c r="CV180" s="158"/>
      <c r="CW180" s="158"/>
      <c r="CX180" s="158"/>
      <c r="CY180" s="158"/>
      <c r="CZ180" s="158"/>
    </row>
    <row r="181" spans="13:104">
      <c r="M181" s="177"/>
      <c r="AP181" s="42"/>
      <c r="AQ181" s="42"/>
      <c r="AR181" s="42"/>
      <c r="AS181" s="42"/>
      <c r="CG181" s="157"/>
      <c r="CH181" s="157"/>
      <c r="CI181" s="157"/>
      <c r="CJ181" s="157"/>
      <c r="CK181" s="158"/>
      <c r="CL181" s="158"/>
      <c r="CM181" s="159"/>
      <c r="CN181" s="158"/>
      <c r="CO181" s="158"/>
      <c r="CP181" s="158"/>
      <c r="CQ181" s="158"/>
      <c r="CR181" s="158"/>
      <c r="CS181" s="158"/>
      <c r="CT181" s="158"/>
      <c r="CU181" s="158"/>
      <c r="CV181" s="158"/>
      <c r="CW181" s="158"/>
      <c r="CX181" s="158"/>
      <c r="CY181" s="158"/>
      <c r="CZ181" s="158"/>
    </row>
    <row r="182" spans="13:104">
      <c r="M182" s="177"/>
      <c r="AP182" s="42"/>
      <c r="AQ182" s="42"/>
      <c r="AR182" s="42"/>
      <c r="AS182" s="42"/>
      <c r="CG182" s="157"/>
      <c r="CH182" s="157"/>
      <c r="CI182" s="157"/>
      <c r="CJ182" s="157"/>
      <c r="CK182" s="158"/>
      <c r="CL182" s="158"/>
      <c r="CM182" s="159"/>
      <c r="CN182" s="158"/>
      <c r="CO182" s="158"/>
      <c r="CP182" s="158"/>
      <c r="CQ182" s="158"/>
      <c r="CR182" s="158"/>
      <c r="CS182" s="158"/>
      <c r="CT182" s="158"/>
      <c r="CU182" s="158"/>
      <c r="CV182" s="158"/>
      <c r="CW182" s="158"/>
      <c r="CX182" s="158"/>
      <c r="CY182" s="158"/>
      <c r="CZ182" s="158"/>
    </row>
    <row r="183" spans="13:104">
      <c r="M183" s="177"/>
      <c r="AP183" s="42"/>
      <c r="AQ183" s="42"/>
      <c r="AR183" s="42"/>
      <c r="AS183" s="42"/>
      <c r="CG183" s="157"/>
      <c r="CH183" s="157"/>
      <c r="CI183" s="157"/>
      <c r="CJ183" s="157"/>
      <c r="CK183" s="158"/>
      <c r="CL183" s="158"/>
      <c r="CM183" s="159"/>
      <c r="CN183" s="158"/>
      <c r="CO183" s="158"/>
      <c r="CP183" s="158"/>
      <c r="CQ183" s="158"/>
      <c r="CR183" s="158"/>
      <c r="CS183" s="158"/>
      <c r="CT183" s="158"/>
      <c r="CU183" s="158"/>
      <c r="CV183" s="158"/>
      <c r="CW183" s="158"/>
      <c r="CX183" s="158"/>
      <c r="CY183" s="158"/>
      <c r="CZ183" s="158"/>
    </row>
    <row r="184" spans="13:104">
      <c r="M184" s="177"/>
      <c r="AP184" s="42"/>
      <c r="AQ184" s="42"/>
      <c r="AR184" s="42"/>
      <c r="CG184" s="157"/>
      <c r="CH184" s="157"/>
      <c r="CI184" s="157"/>
      <c r="CJ184" s="157"/>
      <c r="CK184" s="158"/>
      <c r="CL184" s="158"/>
      <c r="CM184" s="159"/>
      <c r="CN184" s="158"/>
      <c r="CO184" s="158"/>
      <c r="CP184" s="158"/>
      <c r="CQ184" s="158"/>
      <c r="CR184" s="158"/>
      <c r="CS184" s="158"/>
      <c r="CT184" s="158"/>
      <c r="CU184" s="158"/>
      <c r="CV184" s="158"/>
      <c r="CW184" s="158"/>
      <c r="CX184" s="158"/>
      <c r="CY184" s="158"/>
      <c r="CZ184" s="158"/>
    </row>
    <row r="185" spans="13:104">
      <c r="M185" s="177"/>
      <c r="AP185" s="42"/>
      <c r="AQ185" s="42"/>
      <c r="AR185" s="42"/>
      <c r="CG185" s="157"/>
      <c r="CH185" s="157"/>
      <c r="CI185" s="157"/>
      <c r="CJ185" s="157"/>
      <c r="CK185" s="158"/>
      <c r="CL185" s="158"/>
      <c r="CM185" s="159"/>
      <c r="CN185" s="158"/>
      <c r="CO185" s="158"/>
      <c r="CP185" s="158"/>
      <c r="CQ185" s="158"/>
      <c r="CR185" s="158"/>
      <c r="CS185" s="158"/>
      <c r="CT185" s="158"/>
      <c r="CU185" s="158"/>
      <c r="CV185" s="158"/>
      <c r="CW185" s="158"/>
      <c r="CX185" s="158"/>
      <c r="CY185" s="158"/>
      <c r="CZ185" s="158"/>
    </row>
    <row r="186" spans="13:104">
      <c r="M186" s="177"/>
      <c r="AP186" s="42"/>
      <c r="AQ186" s="42"/>
      <c r="AR186" s="42"/>
      <c r="CG186" s="157"/>
      <c r="CH186" s="157"/>
      <c r="CI186" s="157"/>
      <c r="CJ186" s="157"/>
      <c r="CK186" s="158"/>
      <c r="CL186" s="158"/>
      <c r="CM186" s="159"/>
      <c r="CN186" s="158"/>
      <c r="CO186" s="158"/>
      <c r="CP186" s="158"/>
      <c r="CQ186" s="158"/>
      <c r="CR186" s="158"/>
      <c r="CS186" s="158"/>
      <c r="CT186" s="158"/>
      <c r="CU186" s="158"/>
      <c r="CV186" s="158"/>
      <c r="CW186" s="158"/>
      <c r="CX186" s="158"/>
      <c r="CY186" s="158"/>
      <c r="CZ186" s="158"/>
    </row>
    <row r="187" spans="13:104">
      <c r="M187" s="177"/>
      <c r="AP187" s="42"/>
      <c r="AQ187" s="42"/>
      <c r="AR187" s="42"/>
      <c r="CG187" s="157"/>
      <c r="CH187" s="157"/>
      <c r="CI187" s="157"/>
      <c r="CJ187" s="157"/>
      <c r="CK187" s="158"/>
      <c r="CL187" s="158"/>
      <c r="CM187" s="159"/>
      <c r="CN187" s="158"/>
      <c r="CO187" s="158"/>
      <c r="CP187" s="158"/>
      <c r="CQ187" s="158"/>
      <c r="CR187" s="158"/>
      <c r="CS187" s="158"/>
      <c r="CT187" s="158"/>
      <c r="CU187" s="158"/>
      <c r="CV187" s="158"/>
      <c r="CW187" s="158"/>
      <c r="CX187" s="158"/>
      <c r="CY187" s="158"/>
      <c r="CZ187" s="158"/>
    </row>
    <row r="188" spans="13:104">
      <c r="M188" s="177"/>
      <c r="AP188" s="42"/>
      <c r="AQ188" s="42"/>
      <c r="AR188" s="42"/>
      <c r="CG188" s="157"/>
      <c r="CH188" s="157"/>
      <c r="CI188" s="157"/>
      <c r="CJ188" s="157"/>
      <c r="CK188" s="158"/>
      <c r="CL188" s="158"/>
      <c r="CM188" s="159"/>
      <c r="CN188" s="158"/>
      <c r="CO188" s="158"/>
      <c r="CP188" s="158"/>
      <c r="CQ188" s="158"/>
      <c r="CR188" s="158"/>
      <c r="CS188" s="158"/>
      <c r="CT188" s="158"/>
      <c r="CU188" s="158"/>
      <c r="CV188" s="158"/>
      <c r="CW188" s="158"/>
      <c r="CX188" s="158"/>
      <c r="CY188" s="158"/>
      <c r="CZ188" s="158"/>
    </row>
    <row r="189" spans="13:104">
      <c r="M189" s="177"/>
      <c r="AP189" s="42"/>
      <c r="AQ189" s="42"/>
      <c r="AR189" s="42"/>
      <c r="CG189" s="157"/>
      <c r="CH189" s="157"/>
      <c r="CI189" s="157"/>
      <c r="CJ189" s="157"/>
      <c r="CK189" s="158"/>
      <c r="CL189" s="158"/>
      <c r="CM189" s="159"/>
      <c r="CN189" s="158"/>
      <c r="CO189" s="158"/>
      <c r="CP189" s="158"/>
      <c r="CQ189" s="158"/>
      <c r="CR189" s="158"/>
      <c r="CS189" s="158"/>
      <c r="CT189" s="158"/>
      <c r="CU189" s="158"/>
      <c r="CV189" s="158"/>
      <c r="CW189" s="158"/>
      <c r="CX189" s="158"/>
      <c r="CY189" s="158"/>
      <c r="CZ189" s="158"/>
    </row>
    <row r="190" spans="13:104">
      <c r="M190" s="177"/>
      <c r="AP190" s="42"/>
      <c r="AQ190" s="42"/>
      <c r="AR190" s="42"/>
      <c r="CG190" s="157"/>
      <c r="CH190" s="157"/>
      <c r="CI190" s="157"/>
      <c r="CJ190" s="157"/>
      <c r="CK190" s="158"/>
      <c r="CL190" s="158"/>
      <c r="CM190" s="159"/>
      <c r="CN190" s="158"/>
      <c r="CO190" s="158"/>
      <c r="CP190" s="158"/>
      <c r="CQ190" s="158"/>
      <c r="CR190" s="158"/>
      <c r="CS190" s="158"/>
      <c r="CT190" s="158"/>
      <c r="CU190" s="158"/>
      <c r="CV190" s="158"/>
      <c r="CW190" s="158"/>
      <c r="CX190" s="158"/>
      <c r="CY190" s="158"/>
      <c r="CZ190" s="158"/>
    </row>
    <row r="191" spans="13:104">
      <c r="M191" s="177"/>
      <c r="AP191" s="42"/>
      <c r="AQ191" s="42"/>
      <c r="AR191" s="42"/>
      <c r="CG191" s="157"/>
      <c r="CH191" s="157"/>
      <c r="CI191" s="157"/>
      <c r="CJ191" s="157"/>
      <c r="CK191" s="158"/>
      <c r="CL191" s="158"/>
      <c r="CM191" s="159"/>
      <c r="CN191" s="158"/>
      <c r="CO191" s="158"/>
      <c r="CP191" s="158"/>
      <c r="CQ191" s="158"/>
      <c r="CR191" s="158"/>
      <c r="CS191" s="158"/>
      <c r="CT191" s="158"/>
      <c r="CU191" s="158"/>
      <c r="CV191" s="158"/>
      <c r="CW191" s="158"/>
      <c r="CX191" s="158"/>
      <c r="CY191" s="158"/>
      <c r="CZ191" s="158"/>
    </row>
    <row r="192" spans="13:104">
      <c r="M192" s="177"/>
      <c r="AP192" s="42"/>
      <c r="AQ192" s="42"/>
      <c r="AR192" s="42"/>
      <c r="CG192" s="157"/>
      <c r="CH192" s="157"/>
      <c r="CI192" s="157"/>
      <c r="CJ192" s="157"/>
      <c r="CK192" s="158"/>
      <c r="CL192" s="158"/>
      <c r="CM192" s="159"/>
      <c r="CN192" s="158"/>
      <c r="CO192" s="158"/>
      <c r="CP192" s="158"/>
      <c r="CQ192" s="158"/>
      <c r="CR192" s="158"/>
      <c r="CS192" s="158"/>
      <c r="CT192" s="158"/>
      <c r="CU192" s="158"/>
      <c r="CV192" s="158"/>
      <c r="CW192" s="158"/>
      <c r="CX192" s="158"/>
      <c r="CY192" s="158"/>
      <c r="CZ192" s="158"/>
    </row>
    <row r="193" spans="13:104">
      <c r="M193" s="177"/>
      <c r="AP193" s="42"/>
      <c r="AQ193" s="42"/>
      <c r="AR193" s="42"/>
      <c r="CG193" s="157"/>
      <c r="CH193" s="157"/>
      <c r="CI193" s="157"/>
      <c r="CJ193" s="157"/>
      <c r="CK193" s="158"/>
      <c r="CL193" s="158"/>
      <c r="CM193" s="159"/>
      <c r="CN193" s="158"/>
      <c r="CO193" s="158"/>
      <c r="CP193" s="158"/>
      <c r="CQ193" s="158"/>
      <c r="CR193" s="158"/>
      <c r="CS193" s="158"/>
      <c r="CT193" s="158"/>
      <c r="CU193" s="158"/>
      <c r="CV193" s="158"/>
      <c r="CW193" s="158"/>
      <c r="CX193" s="158"/>
      <c r="CY193" s="158"/>
      <c r="CZ193" s="158"/>
    </row>
    <row r="194" spans="13:104">
      <c r="M194" s="177"/>
      <c r="AP194" s="42"/>
      <c r="AQ194" s="42"/>
      <c r="AR194" s="42"/>
      <c r="CG194" s="157"/>
      <c r="CH194" s="157"/>
      <c r="CI194" s="157"/>
      <c r="CJ194" s="157"/>
      <c r="CK194" s="158"/>
      <c r="CL194" s="158"/>
      <c r="CM194" s="159"/>
      <c r="CN194" s="158"/>
      <c r="CO194" s="158"/>
      <c r="CP194" s="158"/>
      <c r="CQ194" s="158"/>
      <c r="CR194" s="158"/>
      <c r="CS194" s="158"/>
      <c r="CT194" s="158"/>
      <c r="CU194" s="158"/>
      <c r="CV194" s="158"/>
      <c r="CW194" s="158"/>
      <c r="CX194" s="158"/>
      <c r="CY194" s="158"/>
      <c r="CZ194" s="158"/>
    </row>
    <row r="195" spans="13:104">
      <c r="M195" s="177"/>
      <c r="AP195" s="42"/>
      <c r="AQ195" s="42"/>
      <c r="AR195" s="42"/>
      <c r="CG195" s="157"/>
      <c r="CH195" s="157"/>
      <c r="CI195" s="157"/>
      <c r="CJ195" s="157"/>
      <c r="CK195" s="158"/>
      <c r="CL195" s="158"/>
      <c r="CM195" s="159"/>
      <c r="CN195" s="158"/>
      <c r="CO195" s="158"/>
      <c r="CP195" s="158"/>
      <c r="CQ195" s="158"/>
      <c r="CR195" s="158"/>
      <c r="CS195" s="158"/>
      <c r="CT195" s="158"/>
      <c r="CU195" s="158"/>
      <c r="CV195" s="158"/>
      <c r="CW195" s="158"/>
      <c r="CX195" s="158"/>
      <c r="CY195" s="158"/>
      <c r="CZ195" s="158"/>
    </row>
    <row r="196" spans="13:104">
      <c r="M196" s="177"/>
      <c r="AP196" s="42"/>
      <c r="AQ196" s="42"/>
      <c r="AR196" s="42"/>
      <c r="CG196" s="157"/>
      <c r="CH196" s="157"/>
      <c r="CI196" s="157"/>
      <c r="CJ196" s="157"/>
      <c r="CK196" s="158"/>
      <c r="CL196" s="158"/>
      <c r="CM196" s="159"/>
      <c r="CN196" s="158"/>
      <c r="CO196" s="158"/>
      <c r="CP196" s="158"/>
      <c r="CQ196" s="158"/>
      <c r="CR196" s="158"/>
      <c r="CS196" s="158"/>
      <c r="CT196" s="158"/>
      <c r="CU196" s="158"/>
      <c r="CV196" s="158"/>
      <c r="CW196" s="158"/>
      <c r="CX196" s="158"/>
      <c r="CY196" s="158"/>
      <c r="CZ196" s="158"/>
    </row>
    <row r="197" spans="13:104">
      <c r="M197" s="177"/>
      <c r="AP197" s="42"/>
      <c r="AQ197" s="42"/>
      <c r="AR197" s="42"/>
      <c r="CG197" s="157"/>
      <c r="CH197" s="157"/>
      <c r="CI197" s="157"/>
      <c r="CJ197" s="157"/>
      <c r="CK197" s="158"/>
      <c r="CL197" s="158"/>
      <c r="CM197" s="159"/>
      <c r="CN197" s="158"/>
      <c r="CO197" s="158"/>
      <c r="CP197" s="158"/>
      <c r="CQ197" s="158"/>
      <c r="CR197" s="158"/>
      <c r="CS197" s="158"/>
      <c r="CT197" s="158"/>
      <c r="CU197" s="158"/>
      <c r="CV197" s="158"/>
      <c r="CW197" s="158"/>
      <c r="CX197" s="158"/>
      <c r="CY197" s="158"/>
      <c r="CZ197" s="158"/>
    </row>
    <row r="198" spans="13:104">
      <c r="M198" s="177"/>
      <c r="AP198" s="42"/>
      <c r="AQ198" s="42"/>
      <c r="AR198" s="42"/>
      <c r="CG198" s="157"/>
      <c r="CH198" s="157"/>
      <c r="CI198" s="157"/>
      <c r="CJ198" s="157"/>
      <c r="CK198" s="158"/>
      <c r="CL198" s="158"/>
      <c r="CM198" s="159"/>
      <c r="CN198" s="158"/>
      <c r="CO198" s="158"/>
      <c r="CP198" s="158"/>
      <c r="CQ198" s="158"/>
      <c r="CR198" s="158"/>
      <c r="CS198" s="158"/>
      <c r="CT198" s="158"/>
      <c r="CU198" s="158"/>
      <c r="CV198" s="158"/>
      <c r="CW198" s="158"/>
      <c r="CX198" s="158"/>
      <c r="CY198" s="158"/>
      <c r="CZ198" s="158"/>
    </row>
    <row r="199" spans="13:104">
      <c r="M199" s="177"/>
      <c r="AP199" s="42"/>
      <c r="AQ199" s="42"/>
      <c r="CG199" s="157"/>
      <c r="CH199" s="157"/>
      <c r="CI199" s="157"/>
      <c r="CJ199" s="157"/>
      <c r="CK199" s="158"/>
      <c r="CL199" s="158"/>
      <c r="CM199" s="159"/>
      <c r="CN199" s="158"/>
      <c r="CO199" s="158"/>
      <c r="CP199" s="158"/>
      <c r="CQ199" s="158"/>
      <c r="CR199" s="158"/>
      <c r="CS199" s="158"/>
      <c r="CT199" s="158"/>
      <c r="CU199" s="158"/>
      <c r="CV199" s="158"/>
      <c r="CW199" s="158"/>
      <c r="CX199" s="158"/>
      <c r="CY199" s="158"/>
      <c r="CZ199" s="158"/>
    </row>
    <row r="200" spans="13:104">
      <c r="M200" s="177"/>
      <c r="AP200" s="42"/>
      <c r="AQ200" s="42"/>
      <c r="CG200" s="157"/>
      <c r="CH200" s="157"/>
      <c r="CI200" s="157"/>
      <c r="CJ200" s="157"/>
      <c r="CK200" s="158"/>
      <c r="CL200" s="158"/>
      <c r="CM200" s="159"/>
      <c r="CN200" s="158"/>
      <c r="CO200" s="158"/>
      <c r="CP200" s="158"/>
      <c r="CQ200" s="158"/>
      <c r="CR200" s="158"/>
      <c r="CS200" s="158"/>
      <c r="CT200" s="158"/>
      <c r="CU200" s="158"/>
      <c r="CV200" s="158"/>
      <c r="CW200" s="158"/>
      <c r="CX200" s="158"/>
      <c r="CY200" s="158"/>
      <c r="CZ200" s="158"/>
    </row>
    <row r="201" spans="13:104">
      <c r="M201" s="177"/>
      <c r="AP201" s="42"/>
      <c r="AQ201" s="42"/>
      <c r="CG201" s="157"/>
      <c r="CH201" s="157"/>
      <c r="CI201" s="157"/>
      <c r="CJ201" s="157"/>
      <c r="CK201" s="158"/>
      <c r="CL201" s="158"/>
      <c r="CM201" s="159"/>
      <c r="CN201" s="158"/>
      <c r="CO201" s="158"/>
      <c r="CP201" s="158"/>
      <c r="CQ201" s="158"/>
      <c r="CR201" s="158"/>
      <c r="CS201" s="158"/>
      <c r="CT201" s="158"/>
      <c r="CU201" s="158"/>
      <c r="CV201" s="158"/>
      <c r="CW201" s="158"/>
      <c r="CX201" s="158"/>
      <c r="CY201" s="158"/>
      <c r="CZ201" s="158"/>
    </row>
    <row r="202" spans="13:104">
      <c r="M202" s="177"/>
      <c r="AP202" s="42"/>
      <c r="AQ202" s="42"/>
      <c r="CG202" s="157"/>
      <c r="CH202" s="157"/>
      <c r="CI202" s="157"/>
      <c r="CJ202" s="157"/>
      <c r="CK202" s="158"/>
      <c r="CL202" s="158"/>
      <c r="CM202" s="159"/>
      <c r="CN202" s="158"/>
      <c r="CO202" s="158"/>
      <c r="CP202" s="158"/>
      <c r="CQ202" s="158"/>
      <c r="CR202" s="158"/>
      <c r="CS202" s="158"/>
      <c r="CT202" s="158"/>
      <c r="CU202" s="158"/>
      <c r="CV202" s="158"/>
      <c r="CW202" s="158"/>
      <c r="CX202" s="158"/>
      <c r="CY202" s="158"/>
      <c r="CZ202" s="158"/>
    </row>
    <row r="203" spans="13:104">
      <c r="M203" s="177"/>
      <c r="AP203" s="42"/>
      <c r="AQ203" s="42"/>
      <c r="CG203" s="157"/>
      <c r="CH203" s="157"/>
      <c r="CI203" s="157"/>
      <c r="CJ203" s="157"/>
      <c r="CK203" s="158"/>
      <c r="CL203" s="158"/>
      <c r="CM203" s="159"/>
      <c r="CN203" s="158"/>
      <c r="CO203" s="158"/>
      <c r="CP203" s="158"/>
      <c r="CQ203" s="158"/>
      <c r="CR203" s="158"/>
      <c r="CS203" s="158"/>
      <c r="CT203" s="158"/>
      <c r="CU203" s="158"/>
      <c r="CV203" s="158"/>
      <c r="CW203" s="158"/>
      <c r="CX203" s="158"/>
      <c r="CY203" s="158"/>
      <c r="CZ203" s="158"/>
    </row>
    <row r="204" spans="13:104">
      <c r="M204" s="177"/>
      <c r="AP204" s="42"/>
      <c r="AQ204" s="42"/>
      <c r="CG204" s="157"/>
      <c r="CH204" s="157"/>
      <c r="CI204" s="157"/>
      <c r="CJ204" s="157"/>
      <c r="CK204" s="158"/>
      <c r="CL204" s="158"/>
      <c r="CM204" s="159"/>
      <c r="CN204" s="158"/>
      <c r="CO204" s="158"/>
      <c r="CP204" s="158"/>
      <c r="CQ204" s="158"/>
      <c r="CR204" s="158"/>
      <c r="CS204" s="158"/>
      <c r="CT204" s="158"/>
      <c r="CU204" s="158"/>
      <c r="CV204" s="158"/>
      <c r="CW204" s="158"/>
      <c r="CX204" s="158"/>
      <c r="CY204" s="158"/>
      <c r="CZ204" s="158"/>
    </row>
    <row r="205" spans="13:104">
      <c r="M205" s="177"/>
      <c r="AP205" s="42"/>
      <c r="AQ205" s="42"/>
      <c r="CG205" s="157"/>
      <c r="CH205" s="157"/>
      <c r="CI205" s="157"/>
      <c r="CJ205" s="157"/>
      <c r="CK205" s="158"/>
      <c r="CL205" s="158"/>
      <c r="CM205" s="159"/>
      <c r="CN205" s="158"/>
      <c r="CO205" s="158"/>
      <c r="CP205" s="158"/>
      <c r="CQ205" s="158"/>
      <c r="CR205" s="158"/>
      <c r="CS205" s="158"/>
      <c r="CT205" s="158"/>
      <c r="CU205" s="158"/>
      <c r="CV205" s="158"/>
      <c r="CW205" s="158"/>
      <c r="CX205" s="158"/>
      <c r="CY205" s="158"/>
      <c r="CZ205" s="158"/>
    </row>
    <row r="206" spans="13:104">
      <c r="M206" s="177"/>
      <c r="CG206" s="157"/>
      <c r="CH206" s="157"/>
      <c r="CI206" s="157"/>
      <c r="CJ206" s="157"/>
      <c r="CK206" s="158"/>
      <c r="CL206" s="158"/>
      <c r="CM206" s="159"/>
      <c r="CN206" s="158"/>
      <c r="CO206" s="158"/>
      <c r="CP206" s="158"/>
      <c r="CQ206" s="158"/>
      <c r="CR206" s="158"/>
      <c r="CS206" s="158"/>
      <c r="CT206" s="158"/>
      <c r="CU206" s="158"/>
      <c r="CV206" s="158"/>
      <c r="CW206" s="158"/>
      <c r="CX206" s="158"/>
      <c r="CY206" s="158"/>
      <c r="CZ206" s="158"/>
    </row>
    <row r="207" spans="13:104">
      <c r="M207" s="177"/>
      <c r="CG207" s="157"/>
      <c r="CH207" s="157"/>
      <c r="CI207" s="157"/>
      <c r="CJ207" s="157"/>
      <c r="CK207" s="158"/>
      <c r="CL207" s="158"/>
      <c r="CM207" s="159"/>
      <c r="CN207" s="158"/>
      <c r="CO207" s="158"/>
      <c r="CP207" s="158"/>
      <c r="CQ207" s="158"/>
      <c r="CR207" s="158"/>
      <c r="CS207" s="158"/>
      <c r="CT207" s="158"/>
      <c r="CU207" s="158"/>
      <c r="CV207" s="158"/>
      <c r="CW207" s="158"/>
      <c r="CX207" s="158"/>
      <c r="CY207" s="158"/>
      <c r="CZ207" s="158"/>
    </row>
    <row r="208" spans="13:104">
      <c r="M208" s="177"/>
      <c r="CG208" s="157"/>
      <c r="CH208" s="157"/>
      <c r="CI208" s="157"/>
      <c r="CJ208" s="157"/>
      <c r="CK208" s="158"/>
      <c r="CL208" s="158"/>
      <c r="CM208" s="159"/>
      <c r="CN208" s="158"/>
      <c r="CO208" s="158"/>
      <c r="CP208" s="158"/>
      <c r="CQ208" s="158"/>
      <c r="CR208" s="158"/>
      <c r="CS208" s="158"/>
      <c r="CT208" s="158"/>
      <c r="CU208" s="158"/>
      <c r="CV208" s="158"/>
      <c r="CW208" s="158"/>
      <c r="CX208" s="158"/>
      <c r="CY208" s="158"/>
      <c r="CZ208" s="158"/>
    </row>
    <row r="209" spans="13:104">
      <c r="M209" s="177"/>
      <c r="CG209" s="157"/>
      <c r="CH209" s="157"/>
      <c r="CI209" s="157"/>
      <c r="CJ209" s="157"/>
      <c r="CK209" s="158"/>
      <c r="CL209" s="158"/>
      <c r="CM209" s="159"/>
      <c r="CN209" s="158"/>
      <c r="CO209" s="158"/>
      <c r="CP209" s="158"/>
      <c r="CQ209" s="158"/>
      <c r="CR209" s="158"/>
      <c r="CS209" s="158"/>
      <c r="CT209" s="158"/>
      <c r="CU209" s="158"/>
      <c r="CV209" s="158"/>
      <c r="CW209" s="158"/>
      <c r="CX209" s="158"/>
      <c r="CY209" s="158"/>
      <c r="CZ209" s="158"/>
    </row>
    <row r="210" spans="13:104">
      <c r="M210" s="177"/>
      <c r="CG210" s="157"/>
      <c r="CH210" s="157"/>
      <c r="CI210" s="157"/>
      <c r="CJ210" s="157"/>
      <c r="CK210" s="158"/>
      <c r="CL210" s="158"/>
      <c r="CM210" s="159"/>
      <c r="CN210" s="158"/>
      <c r="CO210" s="158"/>
      <c r="CP210" s="158"/>
      <c r="CQ210" s="158"/>
      <c r="CR210" s="158"/>
      <c r="CS210" s="158"/>
      <c r="CT210" s="158"/>
      <c r="CU210" s="158"/>
      <c r="CV210" s="158"/>
      <c r="CW210" s="158"/>
      <c r="CX210" s="158"/>
      <c r="CY210" s="158"/>
      <c r="CZ210" s="158"/>
    </row>
    <row r="211" spans="13:104">
      <c r="M211" s="177"/>
      <c r="CG211" s="157"/>
      <c r="CH211" s="157"/>
      <c r="CI211" s="157"/>
      <c r="CJ211" s="157"/>
      <c r="CK211" s="158"/>
      <c r="CL211" s="158"/>
      <c r="CM211" s="159"/>
      <c r="CN211" s="158"/>
      <c r="CO211" s="158"/>
      <c r="CP211" s="158"/>
      <c r="CQ211" s="158"/>
      <c r="CR211" s="158"/>
      <c r="CS211" s="158"/>
      <c r="CT211" s="158"/>
      <c r="CU211" s="158"/>
      <c r="CV211" s="158"/>
      <c r="CW211" s="158"/>
      <c r="CX211" s="158"/>
      <c r="CY211" s="158"/>
      <c r="CZ211" s="158"/>
    </row>
    <row r="212" spans="13:104">
      <c r="M212" s="177"/>
      <c r="CG212" s="157"/>
      <c r="CH212" s="157"/>
      <c r="CI212" s="157"/>
      <c r="CJ212" s="157"/>
      <c r="CK212" s="158"/>
      <c r="CL212" s="158"/>
      <c r="CM212" s="159"/>
      <c r="CN212" s="158"/>
      <c r="CO212" s="158"/>
      <c r="CP212" s="158"/>
      <c r="CQ212" s="158"/>
      <c r="CR212" s="158"/>
      <c r="CS212" s="158"/>
      <c r="CT212" s="158"/>
      <c r="CU212" s="158"/>
      <c r="CV212" s="158"/>
      <c r="CW212" s="158"/>
      <c r="CX212" s="158"/>
      <c r="CY212" s="158"/>
      <c r="CZ212" s="158"/>
    </row>
    <row r="213" spans="13:104">
      <c r="M213" s="177"/>
      <c r="CG213" s="157"/>
      <c r="CH213" s="157"/>
      <c r="CI213" s="157"/>
      <c r="CJ213" s="157"/>
      <c r="CK213" s="158"/>
      <c r="CL213" s="158"/>
      <c r="CM213" s="159"/>
      <c r="CN213" s="158"/>
      <c r="CO213" s="158"/>
      <c r="CP213" s="158"/>
      <c r="CQ213" s="158"/>
      <c r="CR213" s="158"/>
      <c r="CS213" s="158"/>
      <c r="CT213" s="158"/>
      <c r="CU213" s="158"/>
      <c r="CV213" s="158"/>
      <c r="CW213" s="158"/>
      <c r="CX213" s="158"/>
      <c r="CY213" s="158"/>
      <c r="CZ213" s="158"/>
    </row>
    <row r="214" spans="13:104">
      <c r="M214" s="177"/>
      <c r="CG214" s="157"/>
      <c r="CH214" s="157"/>
      <c r="CI214" s="157"/>
      <c r="CJ214" s="157"/>
      <c r="CK214" s="158"/>
      <c r="CL214" s="158"/>
      <c r="CM214" s="159"/>
      <c r="CN214" s="158"/>
      <c r="CO214" s="158"/>
      <c r="CP214" s="158"/>
      <c r="CQ214" s="158"/>
      <c r="CR214" s="158"/>
      <c r="CS214" s="158"/>
      <c r="CT214" s="158"/>
      <c r="CU214" s="158"/>
      <c r="CV214" s="158"/>
      <c r="CW214" s="158"/>
      <c r="CX214" s="158"/>
      <c r="CY214" s="158"/>
      <c r="CZ214" s="158"/>
    </row>
    <row r="215" spans="13:104">
      <c r="M215" s="177"/>
      <c r="CG215" s="157"/>
      <c r="CH215" s="157"/>
      <c r="CI215" s="157"/>
      <c r="CJ215" s="157"/>
      <c r="CK215" s="158"/>
      <c r="CL215" s="158"/>
      <c r="CM215" s="159"/>
      <c r="CN215" s="158"/>
      <c r="CO215" s="158"/>
      <c r="CP215" s="158"/>
      <c r="CQ215" s="158"/>
      <c r="CR215" s="158"/>
      <c r="CS215" s="158"/>
      <c r="CT215" s="158"/>
      <c r="CU215" s="158"/>
      <c r="CV215" s="158"/>
      <c r="CW215" s="158"/>
      <c r="CX215" s="158"/>
      <c r="CY215" s="158"/>
      <c r="CZ215" s="158"/>
    </row>
    <row r="216" spans="13:104">
      <c r="M216" s="177"/>
      <c r="CG216" s="157"/>
      <c r="CH216" s="157"/>
      <c r="CI216" s="157"/>
      <c r="CJ216" s="157"/>
      <c r="CK216" s="158"/>
      <c r="CL216" s="158"/>
      <c r="CM216" s="159"/>
      <c r="CN216" s="158"/>
      <c r="CO216" s="158"/>
      <c r="CP216" s="158"/>
      <c r="CQ216" s="158"/>
      <c r="CR216" s="158"/>
      <c r="CS216" s="158"/>
      <c r="CT216" s="158"/>
      <c r="CU216" s="158"/>
      <c r="CV216" s="158"/>
      <c r="CW216" s="158"/>
      <c r="CX216" s="158"/>
      <c r="CY216" s="158"/>
      <c r="CZ216" s="158"/>
    </row>
    <row r="217" spans="13:104">
      <c r="M217" s="177"/>
      <c r="CG217" s="157"/>
      <c r="CH217" s="157"/>
      <c r="CI217" s="157"/>
      <c r="CJ217" s="157"/>
      <c r="CK217" s="158"/>
      <c r="CL217" s="158"/>
      <c r="CM217" s="159"/>
      <c r="CN217" s="158"/>
      <c r="CO217" s="158"/>
      <c r="CP217" s="158"/>
      <c r="CQ217" s="158"/>
      <c r="CR217" s="158"/>
      <c r="CS217" s="158"/>
      <c r="CT217" s="158"/>
      <c r="CU217" s="158"/>
      <c r="CV217" s="158"/>
      <c r="CW217" s="158"/>
      <c r="CX217" s="158"/>
      <c r="CY217" s="158"/>
      <c r="CZ217" s="158"/>
    </row>
    <row r="218" spans="13:104">
      <c r="M218" s="177"/>
      <c r="CG218" s="157"/>
      <c r="CH218" s="157"/>
      <c r="CI218" s="157"/>
      <c r="CJ218" s="157"/>
      <c r="CK218" s="158"/>
      <c r="CL218" s="158"/>
      <c r="CM218" s="159"/>
      <c r="CN218" s="158"/>
      <c r="CO218" s="158"/>
      <c r="CP218" s="158"/>
      <c r="CQ218" s="158"/>
      <c r="CR218" s="158"/>
      <c r="CS218" s="158"/>
      <c r="CT218" s="158"/>
      <c r="CU218" s="158"/>
      <c r="CV218" s="158"/>
      <c r="CW218" s="158"/>
      <c r="CX218" s="158"/>
      <c r="CY218" s="158"/>
      <c r="CZ218" s="158"/>
    </row>
    <row r="219" spans="13:104">
      <c r="M219" s="177"/>
      <c r="CG219" s="157"/>
      <c r="CH219" s="157"/>
      <c r="CI219" s="157"/>
      <c r="CJ219" s="157"/>
      <c r="CK219" s="158"/>
      <c r="CL219" s="158"/>
      <c r="CM219" s="159"/>
      <c r="CN219" s="158"/>
      <c r="CO219" s="158"/>
      <c r="CP219" s="158"/>
      <c r="CQ219" s="158"/>
      <c r="CR219" s="158"/>
      <c r="CS219" s="158"/>
      <c r="CT219" s="158"/>
      <c r="CU219" s="158"/>
      <c r="CV219" s="158"/>
      <c r="CW219" s="158"/>
      <c r="CX219" s="158"/>
      <c r="CY219" s="158"/>
      <c r="CZ219" s="158"/>
    </row>
    <row r="220" spans="13:104">
      <c r="M220" s="177"/>
      <c r="CG220" s="157"/>
      <c r="CH220" s="157"/>
      <c r="CI220" s="157"/>
      <c r="CJ220" s="157"/>
      <c r="CK220" s="158"/>
      <c r="CL220" s="158"/>
      <c r="CM220" s="159"/>
      <c r="CN220" s="158"/>
      <c r="CO220" s="158"/>
      <c r="CP220" s="158"/>
      <c r="CQ220" s="158"/>
      <c r="CR220" s="158"/>
      <c r="CS220" s="158"/>
      <c r="CT220" s="158"/>
      <c r="CU220" s="158"/>
      <c r="CV220" s="158"/>
      <c r="CW220" s="158"/>
      <c r="CX220" s="158"/>
      <c r="CY220" s="158"/>
      <c r="CZ220" s="158"/>
    </row>
    <row r="221" spans="13:104">
      <c r="M221" s="177"/>
      <c r="CG221" s="157"/>
      <c r="CH221" s="157"/>
      <c r="CI221" s="157"/>
      <c r="CJ221" s="157"/>
      <c r="CK221" s="158"/>
      <c r="CL221" s="158"/>
      <c r="CM221" s="159"/>
      <c r="CN221" s="158"/>
      <c r="CO221" s="158"/>
      <c r="CP221" s="158"/>
      <c r="CQ221" s="158"/>
      <c r="CR221" s="158"/>
      <c r="CS221" s="158"/>
      <c r="CT221" s="158"/>
      <c r="CU221" s="158"/>
      <c r="CV221" s="158"/>
      <c r="CW221" s="158"/>
      <c r="CX221" s="158"/>
      <c r="CY221" s="158"/>
      <c r="CZ221" s="158"/>
    </row>
    <row r="222" spans="13:104">
      <c r="M222" s="177"/>
      <c r="CG222" s="157"/>
      <c r="CH222" s="157"/>
      <c r="CI222" s="157"/>
      <c r="CJ222" s="157"/>
      <c r="CK222" s="158"/>
      <c r="CL222" s="158"/>
      <c r="CM222" s="159"/>
      <c r="CN222" s="158"/>
      <c r="CO222" s="158"/>
      <c r="CP222" s="158"/>
      <c r="CQ222" s="158"/>
      <c r="CR222" s="158"/>
      <c r="CS222" s="158"/>
      <c r="CT222" s="158"/>
      <c r="CU222" s="158"/>
      <c r="CV222" s="158"/>
      <c r="CW222" s="158"/>
      <c r="CX222" s="158"/>
      <c r="CY222" s="158"/>
      <c r="CZ222" s="158"/>
    </row>
    <row r="223" spans="13:104">
      <c r="M223" s="177"/>
      <c r="CG223" s="157"/>
      <c r="CH223" s="157"/>
      <c r="CI223" s="157"/>
      <c r="CJ223" s="157"/>
      <c r="CK223" s="158"/>
      <c r="CL223" s="158"/>
      <c r="CM223" s="159"/>
      <c r="CN223" s="158"/>
      <c r="CO223" s="158"/>
      <c r="CP223" s="158"/>
      <c r="CQ223" s="158"/>
      <c r="CR223" s="158"/>
      <c r="CS223" s="158"/>
      <c r="CT223" s="158"/>
      <c r="CU223" s="158"/>
      <c r="CV223" s="158"/>
      <c r="CW223" s="158"/>
      <c r="CX223" s="158"/>
      <c r="CY223" s="158"/>
      <c r="CZ223" s="158"/>
    </row>
    <row r="224" spans="13:104">
      <c r="M224" s="177"/>
      <c r="CG224" s="157"/>
      <c r="CH224" s="157"/>
      <c r="CI224" s="157"/>
      <c r="CJ224" s="157"/>
      <c r="CK224" s="158"/>
      <c r="CL224" s="158"/>
      <c r="CM224" s="159"/>
      <c r="CN224" s="158"/>
      <c r="CO224" s="158"/>
      <c r="CP224" s="158"/>
      <c r="CQ224" s="158"/>
      <c r="CR224" s="158"/>
      <c r="CS224" s="158"/>
      <c r="CT224" s="158"/>
      <c r="CU224" s="158"/>
      <c r="CV224" s="158"/>
      <c r="CW224" s="158"/>
      <c r="CX224" s="158"/>
      <c r="CY224" s="158"/>
      <c r="CZ224" s="158"/>
    </row>
    <row r="225" spans="13:104">
      <c r="M225" s="177"/>
      <c r="CG225" s="157"/>
      <c r="CH225" s="157"/>
      <c r="CI225" s="157"/>
      <c r="CJ225" s="157"/>
      <c r="CK225" s="158"/>
      <c r="CL225" s="158"/>
      <c r="CM225" s="159"/>
      <c r="CN225" s="158"/>
      <c r="CO225" s="158"/>
      <c r="CP225" s="158"/>
      <c r="CQ225" s="158"/>
      <c r="CR225" s="158"/>
      <c r="CS225" s="158"/>
      <c r="CT225" s="158"/>
      <c r="CU225" s="158"/>
      <c r="CV225" s="158"/>
      <c r="CW225" s="158"/>
      <c r="CX225" s="158"/>
      <c r="CY225" s="158"/>
      <c r="CZ225" s="158"/>
    </row>
    <row r="226" spans="13:104">
      <c r="M226" s="177"/>
      <c r="CG226" s="157"/>
      <c r="CH226" s="157"/>
      <c r="CI226" s="157"/>
      <c r="CJ226" s="157"/>
      <c r="CK226" s="158"/>
      <c r="CL226" s="158"/>
      <c r="CM226" s="159"/>
      <c r="CN226" s="158"/>
      <c r="CO226" s="158"/>
      <c r="CP226" s="158"/>
      <c r="CQ226" s="158"/>
      <c r="CR226" s="158"/>
      <c r="CS226" s="158"/>
      <c r="CT226" s="158"/>
      <c r="CU226" s="158"/>
      <c r="CV226" s="158"/>
      <c r="CW226" s="158"/>
      <c r="CX226" s="158"/>
      <c r="CY226" s="158"/>
      <c r="CZ226" s="158"/>
    </row>
    <row r="227" spans="13:104">
      <c r="M227" s="177"/>
      <c r="CG227" s="157"/>
      <c r="CH227" s="157"/>
      <c r="CI227" s="157"/>
      <c r="CJ227" s="157"/>
      <c r="CK227" s="158"/>
      <c r="CL227" s="158"/>
      <c r="CM227" s="159"/>
      <c r="CN227" s="158"/>
      <c r="CO227" s="158"/>
      <c r="CP227" s="158"/>
      <c r="CQ227" s="158"/>
      <c r="CR227" s="158"/>
      <c r="CS227" s="158"/>
      <c r="CT227" s="158"/>
      <c r="CU227" s="158"/>
      <c r="CV227" s="158"/>
      <c r="CW227" s="158"/>
      <c r="CX227" s="158"/>
      <c r="CY227" s="158"/>
      <c r="CZ227" s="158"/>
    </row>
    <row r="228" spans="13:104">
      <c r="M228" s="177"/>
      <c r="CG228" s="157"/>
      <c r="CH228" s="157"/>
      <c r="CI228" s="157"/>
      <c r="CJ228" s="157"/>
      <c r="CK228" s="158"/>
      <c r="CL228" s="158"/>
      <c r="CM228" s="159"/>
      <c r="CN228" s="158"/>
      <c r="CO228" s="158"/>
      <c r="CP228" s="158"/>
      <c r="CQ228" s="158"/>
      <c r="CR228" s="158"/>
      <c r="CS228" s="158"/>
      <c r="CT228" s="158"/>
      <c r="CU228" s="158"/>
      <c r="CV228" s="158"/>
      <c r="CW228" s="158"/>
      <c r="CX228" s="158"/>
      <c r="CY228" s="158"/>
      <c r="CZ228" s="158"/>
    </row>
    <row r="229" spans="13:104">
      <c r="M229" s="177"/>
      <c r="CG229" s="157"/>
      <c r="CH229" s="157"/>
      <c r="CI229" s="157"/>
      <c r="CJ229" s="157"/>
      <c r="CK229" s="158"/>
      <c r="CL229" s="158"/>
      <c r="CM229" s="159"/>
      <c r="CN229" s="158"/>
      <c r="CO229" s="158"/>
      <c r="CP229" s="158"/>
      <c r="CQ229" s="158"/>
      <c r="CR229" s="158"/>
      <c r="CS229" s="158"/>
      <c r="CT229" s="158"/>
      <c r="CU229" s="158"/>
      <c r="CV229" s="158"/>
      <c r="CW229" s="158"/>
      <c r="CX229" s="158"/>
      <c r="CY229" s="158"/>
      <c r="CZ229" s="158"/>
    </row>
    <row r="230" spans="13:104">
      <c r="M230" s="177"/>
      <c r="CG230" s="157"/>
      <c r="CH230" s="157"/>
      <c r="CI230" s="157"/>
      <c r="CJ230" s="157"/>
      <c r="CK230" s="158"/>
      <c r="CL230" s="158"/>
      <c r="CM230" s="159"/>
      <c r="CN230" s="158"/>
      <c r="CO230" s="158"/>
      <c r="CP230" s="158"/>
      <c r="CQ230" s="158"/>
      <c r="CR230" s="158"/>
      <c r="CS230" s="158"/>
      <c r="CT230" s="158"/>
      <c r="CU230" s="158"/>
      <c r="CV230" s="158"/>
      <c r="CW230" s="158"/>
      <c r="CX230" s="158"/>
      <c r="CY230" s="158"/>
      <c r="CZ230" s="158"/>
    </row>
    <row r="231" spans="13:104">
      <c r="M231" s="177"/>
      <c r="CG231" s="157"/>
      <c r="CH231" s="157"/>
      <c r="CI231" s="157"/>
      <c r="CJ231" s="157"/>
      <c r="CK231" s="158"/>
      <c r="CL231" s="158"/>
      <c r="CM231" s="159"/>
      <c r="CN231" s="158"/>
      <c r="CO231" s="158"/>
      <c r="CP231" s="158"/>
      <c r="CQ231" s="158"/>
      <c r="CR231" s="158"/>
      <c r="CS231" s="158"/>
      <c r="CT231" s="158"/>
      <c r="CU231" s="158"/>
      <c r="CV231" s="158"/>
      <c r="CW231" s="158"/>
      <c r="CX231" s="158"/>
      <c r="CY231" s="158"/>
      <c r="CZ231" s="158"/>
    </row>
    <row r="232" spans="13:104">
      <c r="M232" s="177"/>
      <c r="CG232" s="157"/>
      <c r="CH232" s="157"/>
      <c r="CI232" s="157"/>
      <c r="CJ232" s="157"/>
      <c r="CK232" s="158"/>
      <c r="CL232" s="158"/>
      <c r="CM232" s="159"/>
      <c r="CN232" s="158"/>
      <c r="CO232" s="158"/>
      <c r="CP232" s="158"/>
      <c r="CQ232" s="158"/>
      <c r="CR232" s="158"/>
      <c r="CS232" s="158"/>
      <c r="CT232" s="158"/>
      <c r="CU232" s="158"/>
      <c r="CV232" s="158"/>
      <c r="CW232" s="158"/>
      <c r="CX232" s="158"/>
      <c r="CY232" s="158"/>
      <c r="CZ232" s="158"/>
    </row>
    <row r="233" spans="13:104">
      <c r="M233" s="177"/>
      <c r="CG233" s="157"/>
      <c r="CH233" s="157"/>
      <c r="CI233" s="157"/>
      <c r="CJ233" s="157"/>
      <c r="CK233" s="158"/>
      <c r="CL233" s="158"/>
      <c r="CM233" s="159"/>
      <c r="CN233" s="158"/>
      <c r="CO233" s="158"/>
      <c r="CP233" s="158"/>
      <c r="CQ233" s="158"/>
      <c r="CR233" s="158"/>
      <c r="CS233" s="158"/>
      <c r="CT233" s="158"/>
      <c r="CU233" s="158"/>
      <c r="CV233" s="158"/>
      <c r="CW233" s="158"/>
      <c r="CX233" s="158"/>
      <c r="CY233" s="158"/>
      <c r="CZ233" s="158"/>
    </row>
    <row r="234" spans="13:104">
      <c r="M234" s="177"/>
      <c r="CG234" s="157"/>
      <c r="CH234" s="157"/>
      <c r="CI234" s="157"/>
      <c r="CJ234" s="157"/>
      <c r="CK234" s="158"/>
      <c r="CL234" s="158"/>
      <c r="CM234" s="159"/>
      <c r="CN234" s="158"/>
      <c r="CO234" s="158"/>
      <c r="CP234" s="158"/>
      <c r="CQ234" s="158"/>
      <c r="CR234" s="158"/>
      <c r="CS234" s="158"/>
      <c r="CT234" s="158"/>
      <c r="CU234" s="158"/>
      <c r="CV234" s="158"/>
      <c r="CW234" s="158"/>
      <c r="CX234" s="158"/>
      <c r="CY234" s="158"/>
      <c r="CZ234" s="158"/>
    </row>
    <row r="235" spans="13:104">
      <c r="M235" s="177"/>
      <c r="CG235" s="157"/>
      <c r="CH235" s="157"/>
      <c r="CI235" s="157"/>
      <c r="CJ235" s="157"/>
      <c r="CK235" s="158"/>
      <c r="CL235" s="158"/>
      <c r="CM235" s="159"/>
      <c r="CN235" s="158"/>
      <c r="CO235" s="158"/>
      <c r="CP235" s="158"/>
      <c r="CQ235" s="158"/>
      <c r="CR235" s="158"/>
      <c r="CS235" s="158"/>
      <c r="CT235" s="158"/>
      <c r="CU235" s="158"/>
      <c r="CV235" s="158"/>
      <c r="CW235" s="158"/>
      <c r="CX235" s="158"/>
      <c r="CY235" s="158"/>
      <c r="CZ235" s="158"/>
    </row>
    <row r="236" spans="13:104">
      <c r="M236" s="177"/>
      <c r="CG236" s="157"/>
      <c r="CH236" s="157"/>
      <c r="CI236" s="157"/>
      <c r="CJ236" s="157"/>
      <c r="CK236" s="158"/>
      <c r="CL236" s="158"/>
      <c r="CM236" s="159"/>
      <c r="CN236" s="158"/>
      <c r="CO236" s="158"/>
      <c r="CP236" s="158"/>
      <c r="CQ236" s="158"/>
      <c r="CR236" s="158"/>
      <c r="CS236" s="158"/>
      <c r="CT236" s="158"/>
      <c r="CU236" s="158"/>
      <c r="CV236" s="158"/>
      <c r="CW236" s="158"/>
      <c r="CX236" s="158"/>
      <c r="CY236" s="158"/>
      <c r="CZ236" s="158"/>
    </row>
    <row r="237" spans="13:104">
      <c r="M237" s="177"/>
      <c r="CG237" s="157"/>
      <c r="CH237" s="157"/>
      <c r="CI237" s="157"/>
      <c r="CJ237" s="157"/>
      <c r="CK237" s="158"/>
      <c r="CL237" s="158"/>
      <c r="CM237" s="159"/>
      <c r="CN237" s="158"/>
      <c r="CO237" s="158"/>
      <c r="CP237" s="158"/>
      <c r="CQ237" s="158"/>
      <c r="CR237" s="158"/>
      <c r="CS237" s="158"/>
      <c r="CT237" s="158"/>
      <c r="CU237" s="158"/>
      <c r="CV237" s="158"/>
      <c r="CW237" s="158"/>
      <c r="CX237" s="158"/>
      <c r="CY237" s="158"/>
      <c r="CZ237" s="158"/>
    </row>
    <row r="238" spans="13:104">
      <c r="M238" s="177"/>
      <c r="CG238" s="157"/>
      <c r="CH238" s="157"/>
      <c r="CI238" s="157"/>
      <c r="CJ238" s="157"/>
      <c r="CK238" s="158"/>
      <c r="CL238" s="158"/>
      <c r="CM238" s="159"/>
      <c r="CN238" s="158"/>
      <c r="CO238" s="158"/>
      <c r="CP238" s="158"/>
      <c r="CQ238" s="158"/>
      <c r="CR238" s="158"/>
      <c r="CS238" s="158"/>
      <c r="CT238" s="158"/>
      <c r="CU238" s="158"/>
      <c r="CV238" s="158"/>
      <c r="CW238" s="158"/>
      <c r="CX238" s="158"/>
      <c r="CY238" s="158"/>
      <c r="CZ238" s="158"/>
    </row>
    <row r="239" spans="13:104">
      <c r="M239" s="177"/>
      <c r="CG239" s="157"/>
      <c r="CH239" s="157"/>
      <c r="CI239" s="157"/>
      <c r="CJ239" s="157"/>
      <c r="CK239" s="158"/>
      <c r="CL239" s="158"/>
      <c r="CM239" s="159"/>
      <c r="CN239" s="158"/>
      <c r="CO239" s="158"/>
      <c r="CP239" s="158"/>
      <c r="CQ239" s="158"/>
      <c r="CR239" s="158"/>
      <c r="CS239" s="158"/>
      <c r="CT239" s="158"/>
      <c r="CU239" s="158"/>
      <c r="CV239" s="158"/>
      <c r="CW239" s="158"/>
      <c r="CX239" s="158"/>
      <c r="CY239" s="158"/>
      <c r="CZ239" s="158"/>
    </row>
    <row r="240" spans="13:104">
      <c r="M240" s="177"/>
      <c r="CG240" s="157"/>
      <c r="CH240" s="157"/>
      <c r="CI240" s="157"/>
      <c r="CJ240" s="157"/>
      <c r="CK240" s="158"/>
      <c r="CL240" s="158"/>
      <c r="CM240" s="159"/>
      <c r="CN240" s="158"/>
      <c r="CO240" s="158"/>
      <c r="CP240" s="158"/>
      <c r="CQ240" s="158"/>
      <c r="CR240" s="158"/>
      <c r="CS240" s="158"/>
      <c r="CT240" s="158"/>
      <c r="CU240" s="158"/>
      <c r="CV240" s="158"/>
      <c r="CW240" s="158"/>
      <c r="CX240" s="158"/>
      <c r="CY240" s="158"/>
      <c r="CZ240" s="158"/>
    </row>
    <row r="241" spans="13:104">
      <c r="M241" s="177"/>
      <c r="CG241" s="157"/>
      <c r="CH241" s="157"/>
      <c r="CI241" s="157"/>
      <c r="CJ241" s="157"/>
      <c r="CK241" s="158"/>
      <c r="CL241" s="158"/>
      <c r="CM241" s="159"/>
      <c r="CN241" s="158"/>
      <c r="CO241" s="158"/>
      <c r="CP241" s="158"/>
      <c r="CQ241" s="158"/>
      <c r="CR241" s="158"/>
      <c r="CS241" s="158"/>
      <c r="CT241" s="158"/>
      <c r="CU241" s="158"/>
      <c r="CV241" s="158"/>
      <c r="CW241" s="158"/>
      <c r="CX241" s="158"/>
      <c r="CY241" s="158"/>
      <c r="CZ241" s="158"/>
    </row>
    <row r="242" spans="13:104">
      <c r="M242" s="177"/>
      <c r="CG242" s="157"/>
      <c r="CH242" s="157"/>
      <c r="CI242" s="157"/>
      <c r="CJ242" s="157"/>
      <c r="CK242" s="158"/>
      <c r="CL242" s="158"/>
      <c r="CM242" s="159"/>
      <c r="CN242" s="158"/>
      <c r="CO242" s="158"/>
      <c r="CP242" s="158"/>
      <c r="CQ242" s="158"/>
      <c r="CR242" s="158"/>
      <c r="CS242" s="158"/>
      <c r="CT242" s="158"/>
      <c r="CU242" s="158"/>
      <c r="CV242" s="158"/>
      <c r="CW242" s="158"/>
      <c r="CX242" s="158"/>
      <c r="CY242" s="158"/>
      <c r="CZ242" s="158"/>
    </row>
    <row r="243" spans="13:104">
      <c r="M243" s="177"/>
      <c r="CG243" s="157"/>
      <c r="CH243" s="157"/>
      <c r="CI243" s="157"/>
      <c r="CJ243" s="157"/>
      <c r="CK243" s="158"/>
      <c r="CL243" s="158"/>
      <c r="CM243" s="159"/>
      <c r="CN243" s="158"/>
      <c r="CO243" s="158"/>
      <c r="CP243" s="158"/>
      <c r="CQ243" s="158"/>
      <c r="CR243" s="158"/>
      <c r="CS243" s="158"/>
      <c r="CT243" s="158"/>
      <c r="CU243" s="158"/>
      <c r="CV243" s="158"/>
      <c r="CW243" s="158"/>
      <c r="CX243" s="158"/>
      <c r="CY243" s="158"/>
      <c r="CZ243" s="158"/>
    </row>
    <row r="244" spans="13:104">
      <c r="M244" s="177"/>
      <c r="CG244" s="157"/>
      <c r="CH244" s="157"/>
      <c r="CI244" s="157"/>
      <c r="CJ244" s="157"/>
      <c r="CK244" s="158"/>
      <c r="CL244" s="158"/>
      <c r="CM244" s="159"/>
      <c r="CN244" s="158"/>
      <c r="CO244" s="158"/>
      <c r="CP244" s="158"/>
      <c r="CQ244" s="158"/>
      <c r="CR244" s="158"/>
      <c r="CS244" s="158"/>
      <c r="CT244" s="158"/>
      <c r="CU244" s="158"/>
      <c r="CV244" s="158"/>
      <c r="CW244" s="158"/>
      <c r="CX244" s="158"/>
      <c r="CY244" s="158"/>
      <c r="CZ244" s="158"/>
    </row>
    <row r="245" spans="13:104">
      <c r="M245" s="177"/>
      <c r="CG245" s="157"/>
      <c r="CH245" s="157"/>
      <c r="CI245" s="157"/>
      <c r="CJ245" s="157"/>
      <c r="CK245" s="158"/>
      <c r="CL245" s="158"/>
      <c r="CM245" s="159"/>
      <c r="CN245" s="158"/>
      <c r="CO245" s="158"/>
      <c r="CP245" s="158"/>
      <c r="CQ245" s="158"/>
      <c r="CR245" s="158"/>
      <c r="CS245" s="158"/>
      <c r="CT245" s="158"/>
      <c r="CU245" s="158"/>
      <c r="CV245" s="158"/>
      <c r="CW245" s="158"/>
      <c r="CX245" s="158"/>
      <c r="CY245" s="158"/>
      <c r="CZ245" s="158"/>
    </row>
    <row r="246" spans="13:104">
      <c r="M246" s="177"/>
      <c r="CG246" s="157"/>
      <c r="CH246" s="157"/>
      <c r="CI246" s="157"/>
      <c r="CJ246" s="157"/>
      <c r="CK246" s="158"/>
      <c r="CL246" s="158"/>
      <c r="CM246" s="159"/>
      <c r="CN246" s="158"/>
      <c r="CO246" s="158"/>
      <c r="CP246" s="158"/>
      <c r="CQ246" s="158"/>
      <c r="CR246" s="158"/>
      <c r="CS246" s="158"/>
      <c r="CT246" s="158"/>
      <c r="CU246" s="158"/>
      <c r="CV246" s="158"/>
      <c r="CW246" s="158"/>
      <c r="CX246" s="158"/>
      <c r="CY246" s="158"/>
      <c r="CZ246" s="158"/>
    </row>
    <row r="247" spans="13:104">
      <c r="M247" s="177"/>
      <c r="CG247" s="157"/>
      <c r="CH247" s="157"/>
      <c r="CI247" s="157"/>
      <c r="CJ247" s="157"/>
      <c r="CK247" s="158"/>
      <c r="CL247" s="158"/>
      <c r="CM247" s="159"/>
      <c r="CN247" s="158"/>
      <c r="CO247" s="158"/>
      <c r="CP247" s="158"/>
      <c r="CQ247" s="158"/>
      <c r="CR247" s="158"/>
      <c r="CS247" s="158"/>
      <c r="CT247" s="158"/>
      <c r="CU247" s="158"/>
      <c r="CV247" s="158"/>
      <c r="CW247" s="158"/>
      <c r="CX247" s="158"/>
      <c r="CY247" s="158"/>
      <c r="CZ247" s="158"/>
    </row>
    <row r="248" spans="13:104">
      <c r="M248" s="177"/>
      <c r="CG248" s="157"/>
      <c r="CH248" s="157"/>
      <c r="CI248" s="157"/>
      <c r="CJ248" s="157"/>
      <c r="CK248" s="158"/>
      <c r="CL248" s="158"/>
      <c r="CM248" s="159"/>
      <c r="CN248" s="158"/>
      <c r="CO248" s="158"/>
      <c r="CP248" s="158"/>
      <c r="CQ248" s="158"/>
      <c r="CR248" s="158"/>
      <c r="CS248" s="158"/>
      <c r="CT248" s="158"/>
      <c r="CU248" s="158"/>
      <c r="CV248" s="158"/>
      <c r="CW248" s="158"/>
      <c r="CX248" s="158"/>
      <c r="CY248" s="158"/>
      <c r="CZ248" s="158"/>
    </row>
    <row r="249" spans="13:104">
      <c r="M249" s="177"/>
      <c r="CG249" s="157"/>
      <c r="CH249" s="157"/>
      <c r="CI249" s="157"/>
      <c r="CJ249" s="157"/>
      <c r="CK249" s="158"/>
      <c r="CL249" s="158"/>
      <c r="CM249" s="159"/>
      <c r="CN249" s="158"/>
      <c r="CO249" s="158"/>
      <c r="CP249" s="158"/>
      <c r="CQ249" s="158"/>
      <c r="CR249" s="158"/>
      <c r="CS249" s="158"/>
      <c r="CT249" s="158"/>
      <c r="CU249" s="158"/>
      <c r="CV249" s="158"/>
      <c r="CW249" s="158"/>
      <c r="CX249" s="158"/>
      <c r="CY249" s="158"/>
      <c r="CZ249" s="158"/>
    </row>
    <row r="250" spans="13:104">
      <c r="M250" s="177"/>
      <c r="CG250" s="157"/>
      <c r="CH250" s="157"/>
      <c r="CI250" s="157"/>
      <c r="CJ250" s="157"/>
      <c r="CK250" s="158"/>
      <c r="CL250" s="158"/>
      <c r="CM250" s="159"/>
      <c r="CN250" s="158"/>
      <c r="CO250" s="158"/>
      <c r="CP250" s="158"/>
      <c r="CQ250" s="158"/>
      <c r="CR250" s="158"/>
      <c r="CS250" s="158"/>
      <c r="CT250" s="158"/>
      <c r="CU250" s="158"/>
      <c r="CV250" s="158"/>
      <c r="CW250" s="158"/>
      <c r="CX250" s="158"/>
      <c r="CY250" s="158"/>
      <c r="CZ250" s="158"/>
    </row>
    <row r="251" spans="13:104">
      <c r="M251" s="177"/>
      <c r="CG251" s="157"/>
      <c r="CH251" s="157"/>
      <c r="CI251" s="157"/>
      <c r="CJ251" s="157"/>
      <c r="CK251" s="158"/>
      <c r="CL251" s="158"/>
      <c r="CM251" s="159"/>
      <c r="CN251" s="158"/>
      <c r="CO251" s="158"/>
      <c r="CP251" s="158"/>
      <c r="CQ251" s="158"/>
      <c r="CR251" s="158"/>
      <c r="CS251" s="158"/>
      <c r="CT251" s="158"/>
      <c r="CU251" s="158"/>
      <c r="CV251" s="158"/>
      <c r="CW251" s="158"/>
      <c r="CX251" s="158"/>
      <c r="CY251" s="158"/>
      <c r="CZ251" s="158"/>
    </row>
    <row r="252" spans="13:104">
      <c r="M252" s="177"/>
      <c r="CG252" s="157"/>
      <c r="CH252" s="157"/>
      <c r="CI252" s="157"/>
      <c r="CJ252" s="157"/>
      <c r="CK252" s="158"/>
      <c r="CL252" s="158"/>
      <c r="CM252" s="159"/>
      <c r="CN252" s="158"/>
      <c r="CO252" s="158"/>
      <c r="CP252" s="158"/>
      <c r="CQ252" s="158"/>
      <c r="CR252" s="158"/>
      <c r="CS252" s="158"/>
      <c r="CT252" s="158"/>
      <c r="CU252" s="158"/>
      <c r="CV252" s="158"/>
      <c r="CW252" s="158"/>
      <c r="CX252" s="158"/>
      <c r="CY252" s="158"/>
      <c r="CZ252" s="158"/>
    </row>
    <row r="253" spans="13:104">
      <c r="M253" s="177"/>
      <c r="CG253" s="157"/>
      <c r="CH253" s="157"/>
      <c r="CI253" s="157"/>
      <c r="CJ253" s="157"/>
      <c r="CK253" s="158"/>
      <c r="CL253" s="158"/>
      <c r="CM253" s="159"/>
      <c r="CN253" s="158"/>
      <c r="CO253" s="158"/>
      <c r="CP253" s="158"/>
      <c r="CQ253" s="158"/>
      <c r="CR253" s="158"/>
      <c r="CS253" s="158"/>
      <c r="CT253" s="158"/>
      <c r="CU253" s="158"/>
      <c r="CV253" s="158"/>
      <c r="CW253" s="158"/>
      <c r="CX253" s="158"/>
      <c r="CY253" s="158"/>
      <c r="CZ253" s="158"/>
    </row>
    <row r="254" spans="13:104">
      <c r="M254" s="177"/>
      <c r="CG254" s="157"/>
      <c r="CH254" s="157"/>
      <c r="CI254" s="157"/>
      <c r="CJ254" s="157"/>
      <c r="CK254" s="158"/>
      <c r="CL254" s="158"/>
      <c r="CM254" s="159"/>
      <c r="CN254" s="158"/>
      <c r="CO254" s="158"/>
      <c r="CP254" s="158"/>
      <c r="CQ254" s="158"/>
      <c r="CR254" s="158"/>
      <c r="CS254" s="158"/>
      <c r="CT254" s="158"/>
      <c r="CU254" s="158"/>
      <c r="CV254" s="158"/>
      <c r="CW254" s="158"/>
      <c r="CX254" s="158"/>
      <c r="CY254" s="158"/>
      <c r="CZ254" s="158"/>
    </row>
    <row r="255" spans="13:104">
      <c r="M255" s="177"/>
      <c r="CG255" s="157"/>
      <c r="CH255" s="157"/>
      <c r="CI255" s="157"/>
      <c r="CJ255" s="157"/>
      <c r="CK255" s="158"/>
      <c r="CL255" s="158"/>
      <c r="CM255" s="159"/>
      <c r="CN255" s="158"/>
      <c r="CO255" s="158"/>
      <c r="CP255" s="158"/>
      <c r="CQ255" s="158"/>
      <c r="CR255" s="158"/>
      <c r="CS255" s="158"/>
      <c r="CT255" s="158"/>
      <c r="CU255" s="158"/>
      <c r="CV255" s="158"/>
      <c r="CW255" s="158"/>
      <c r="CX255" s="158"/>
      <c r="CY255" s="158"/>
      <c r="CZ255" s="158"/>
    </row>
    <row r="256" spans="13:104">
      <c r="M256" s="177"/>
      <c r="CG256" s="157"/>
      <c r="CH256" s="157"/>
      <c r="CI256" s="157"/>
      <c r="CJ256" s="157"/>
      <c r="CK256" s="158"/>
      <c r="CL256" s="158"/>
      <c r="CM256" s="159"/>
      <c r="CN256" s="158"/>
      <c r="CO256" s="158"/>
      <c r="CP256" s="158"/>
      <c r="CQ256" s="158"/>
      <c r="CR256" s="158"/>
      <c r="CS256" s="158"/>
      <c r="CT256" s="158"/>
      <c r="CU256" s="158"/>
      <c r="CV256" s="158"/>
      <c r="CW256" s="158"/>
      <c r="CX256" s="158"/>
      <c r="CY256" s="158"/>
      <c r="CZ256" s="158"/>
    </row>
    <row r="257" spans="13:104">
      <c r="M257" s="177"/>
      <c r="CG257" s="157"/>
      <c r="CH257" s="157"/>
      <c r="CI257" s="157"/>
      <c r="CJ257" s="157"/>
      <c r="CK257" s="158"/>
      <c r="CL257" s="158"/>
      <c r="CM257" s="159"/>
      <c r="CN257" s="158"/>
      <c r="CO257" s="158"/>
      <c r="CP257" s="158"/>
      <c r="CQ257" s="158"/>
      <c r="CR257" s="158"/>
      <c r="CS257" s="158"/>
      <c r="CT257" s="158"/>
      <c r="CU257" s="158"/>
      <c r="CV257" s="158"/>
      <c r="CW257" s="158"/>
      <c r="CX257" s="158"/>
      <c r="CY257" s="158"/>
      <c r="CZ257" s="158"/>
    </row>
    <row r="258" spans="13:104">
      <c r="M258" s="177"/>
      <c r="CG258" s="157"/>
      <c r="CH258" s="157"/>
      <c r="CI258" s="157"/>
      <c r="CJ258" s="157"/>
      <c r="CK258" s="158"/>
      <c r="CL258" s="158"/>
      <c r="CM258" s="159"/>
      <c r="CN258" s="158"/>
      <c r="CO258" s="158"/>
      <c r="CP258" s="158"/>
      <c r="CQ258" s="158"/>
      <c r="CR258" s="158"/>
      <c r="CS258" s="158"/>
      <c r="CT258" s="158"/>
      <c r="CU258" s="158"/>
      <c r="CV258" s="158"/>
      <c r="CW258" s="158"/>
      <c r="CX258" s="158"/>
      <c r="CY258" s="158"/>
      <c r="CZ258" s="158"/>
    </row>
    <row r="259" spans="13:104">
      <c r="M259" s="177"/>
      <c r="CG259" s="157"/>
      <c r="CH259" s="157"/>
      <c r="CI259" s="157"/>
      <c r="CJ259" s="157"/>
      <c r="CK259" s="158"/>
      <c r="CL259" s="158"/>
      <c r="CM259" s="159"/>
      <c r="CN259" s="158"/>
      <c r="CO259" s="158"/>
      <c r="CP259" s="158"/>
      <c r="CQ259" s="158"/>
      <c r="CR259" s="158"/>
      <c r="CS259" s="158"/>
      <c r="CT259" s="158"/>
      <c r="CU259" s="158"/>
      <c r="CV259" s="158"/>
      <c r="CW259" s="158"/>
      <c r="CX259" s="158"/>
      <c r="CY259" s="158"/>
      <c r="CZ259" s="158"/>
    </row>
    <row r="260" spans="13:104">
      <c r="M260" s="177"/>
      <c r="CG260" s="157"/>
      <c r="CH260" s="157"/>
      <c r="CI260" s="157"/>
      <c r="CJ260" s="157"/>
      <c r="CK260" s="158"/>
      <c r="CL260" s="158"/>
      <c r="CM260" s="159"/>
      <c r="CN260" s="158"/>
      <c r="CO260" s="158"/>
      <c r="CP260" s="158"/>
      <c r="CQ260" s="158"/>
      <c r="CR260" s="158"/>
      <c r="CS260" s="158"/>
      <c r="CT260" s="158"/>
      <c r="CU260" s="158"/>
      <c r="CV260" s="158"/>
      <c r="CW260" s="158"/>
      <c r="CX260" s="158"/>
      <c r="CY260" s="158"/>
      <c r="CZ260" s="158"/>
    </row>
    <row r="261" spans="13:104">
      <c r="M261" s="177"/>
      <c r="CG261" s="157"/>
      <c r="CH261" s="157"/>
      <c r="CI261" s="157"/>
      <c r="CJ261" s="157"/>
      <c r="CK261" s="158"/>
      <c r="CL261" s="158"/>
      <c r="CM261" s="159"/>
      <c r="CN261" s="158"/>
      <c r="CO261" s="158"/>
      <c r="CP261" s="158"/>
      <c r="CQ261" s="158"/>
      <c r="CR261" s="158"/>
      <c r="CS261" s="158"/>
      <c r="CT261" s="158"/>
      <c r="CU261" s="158"/>
      <c r="CV261" s="158"/>
      <c r="CW261" s="158"/>
      <c r="CX261" s="158"/>
      <c r="CY261" s="158"/>
      <c r="CZ261" s="158"/>
    </row>
    <row r="262" spans="13:104">
      <c r="M262" s="177"/>
      <c r="CG262" s="157"/>
      <c r="CH262" s="157"/>
      <c r="CI262" s="157"/>
      <c r="CJ262" s="157"/>
      <c r="CK262" s="158"/>
      <c r="CL262" s="158"/>
      <c r="CM262" s="159"/>
      <c r="CN262" s="158"/>
      <c r="CO262" s="158"/>
      <c r="CP262" s="158"/>
      <c r="CQ262" s="158"/>
      <c r="CR262" s="158"/>
      <c r="CS262" s="158"/>
      <c r="CT262" s="158"/>
      <c r="CU262" s="158"/>
      <c r="CV262" s="158"/>
      <c r="CW262" s="158"/>
      <c r="CX262" s="158"/>
      <c r="CY262" s="158"/>
      <c r="CZ262" s="158"/>
    </row>
    <row r="263" spans="13:104">
      <c r="M263" s="177"/>
      <c r="CG263" s="157"/>
      <c r="CH263" s="157"/>
      <c r="CI263" s="157"/>
      <c r="CJ263" s="157"/>
      <c r="CK263" s="158"/>
      <c r="CL263" s="158"/>
      <c r="CM263" s="159"/>
      <c r="CN263" s="158"/>
      <c r="CO263" s="158"/>
      <c r="CP263" s="158"/>
      <c r="CQ263" s="158"/>
      <c r="CR263" s="158"/>
      <c r="CS263" s="158"/>
      <c r="CT263" s="158"/>
      <c r="CU263" s="158"/>
      <c r="CV263" s="158"/>
      <c r="CW263" s="158"/>
      <c r="CX263" s="158"/>
      <c r="CY263" s="158"/>
      <c r="CZ263" s="158"/>
    </row>
    <row r="264" spans="13:104">
      <c r="M264" s="177"/>
      <c r="CG264" s="157"/>
      <c r="CH264" s="157"/>
      <c r="CI264" s="157"/>
      <c r="CJ264" s="157"/>
      <c r="CK264" s="158"/>
      <c r="CL264" s="158"/>
      <c r="CM264" s="159"/>
      <c r="CN264" s="158"/>
      <c r="CO264" s="158"/>
      <c r="CP264" s="158"/>
      <c r="CQ264" s="158"/>
      <c r="CR264" s="158"/>
      <c r="CS264" s="158"/>
      <c r="CT264" s="158"/>
      <c r="CU264" s="158"/>
      <c r="CV264" s="158"/>
      <c r="CW264" s="158"/>
      <c r="CX264" s="158"/>
      <c r="CY264" s="158"/>
      <c r="CZ264" s="158"/>
    </row>
    <row r="265" spans="13:104">
      <c r="M265" s="177"/>
      <c r="CG265" s="157"/>
      <c r="CH265" s="157"/>
      <c r="CI265" s="157"/>
      <c r="CJ265" s="157"/>
      <c r="CK265" s="158"/>
      <c r="CL265" s="158"/>
      <c r="CM265" s="159"/>
      <c r="CN265" s="158"/>
      <c r="CO265" s="158"/>
      <c r="CP265" s="158"/>
      <c r="CQ265" s="158"/>
      <c r="CR265" s="158"/>
      <c r="CS265" s="158"/>
      <c r="CT265" s="158"/>
      <c r="CU265" s="158"/>
      <c r="CV265" s="158"/>
      <c r="CW265" s="158"/>
      <c r="CX265" s="158"/>
      <c r="CY265" s="158"/>
      <c r="CZ265" s="158"/>
    </row>
    <row r="266" spans="13:104">
      <c r="M266" s="177"/>
      <c r="CG266" s="157"/>
      <c r="CH266" s="157"/>
      <c r="CI266" s="157"/>
      <c r="CJ266" s="157"/>
      <c r="CK266" s="158"/>
      <c r="CL266" s="158"/>
      <c r="CM266" s="159"/>
      <c r="CN266" s="158"/>
      <c r="CO266" s="158"/>
      <c r="CP266" s="158"/>
      <c r="CQ266" s="158"/>
      <c r="CR266" s="158"/>
      <c r="CS266" s="158"/>
      <c r="CT266" s="158"/>
      <c r="CU266" s="158"/>
      <c r="CV266" s="158"/>
      <c r="CW266" s="158"/>
      <c r="CX266" s="158"/>
      <c r="CY266" s="158"/>
      <c r="CZ266" s="158"/>
    </row>
    <row r="267" spans="13:104">
      <c r="M267" s="177"/>
      <c r="CG267" s="157"/>
      <c r="CH267" s="157"/>
      <c r="CI267" s="157"/>
      <c r="CJ267" s="157"/>
      <c r="CK267" s="158"/>
      <c r="CL267" s="158"/>
      <c r="CM267" s="159"/>
      <c r="CN267" s="158"/>
      <c r="CO267" s="158"/>
      <c r="CP267" s="158"/>
      <c r="CQ267" s="158"/>
      <c r="CR267" s="158"/>
      <c r="CS267" s="158"/>
      <c r="CT267" s="158"/>
      <c r="CU267" s="158"/>
      <c r="CV267" s="158"/>
      <c r="CW267" s="158"/>
      <c r="CX267" s="158"/>
      <c r="CY267" s="158"/>
      <c r="CZ267" s="158"/>
    </row>
    <row r="268" spans="13:104">
      <c r="M268" s="177"/>
      <c r="CG268" s="157"/>
      <c r="CH268" s="157"/>
      <c r="CI268" s="157"/>
      <c r="CJ268" s="157"/>
      <c r="CK268" s="158"/>
      <c r="CL268" s="158"/>
      <c r="CM268" s="159"/>
      <c r="CN268" s="158"/>
      <c r="CO268" s="158"/>
      <c r="CP268" s="158"/>
      <c r="CQ268" s="158"/>
      <c r="CR268" s="158"/>
      <c r="CS268" s="158"/>
      <c r="CT268" s="158"/>
      <c r="CU268" s="158"/>
      <c r="CV268" s="158"/>
      <c r="CW268" s="158"/>
      <c r="CX268" s="158"/>
      <c r="CY268" s="158"/>
      <c r="CZ268" s="158"/>
    </row>
    <row r="269" spans="13:104">
      <c r="M269" s="177"/>
      <c r="CG269" s="157"/>
      <c r="CH269" s="157"/>
      <c r="CI269" s="157"/>
      <c r="CJ269" s="157"/>
      <c r="CK269" s="158"/>
      <c r="CL269" s="158"/>
      <c r="CM269" s="159"/>
      <c r="CN269" s="158"/>
      <c r="CO269" s="158"/>
      <c r="CP269" s="158"/>
      <c r="CQ269" s="158"/>
      <c r="CR269" s="158"/>
      <c r="CS269" s="158"/>
      <c r="CT269" s="158"/>
      <c r="CU269" s="158"/>
      <c r="CV269" s="158"/>
      <c r="CW269" s="158"/>
      <c r="CX269" s="158"/>
      <c r="CY269" s="158"/>
      <c r="CZ269" s="158"/>
    </row>
    <row r="270" spans="13:104">
      <c r="M270" s="177"/>
      <c r="CG270" s="157"/>
      <c r="CH270" s="157"/>
      <c r="CI270" s="157"/>
      <c r="CJ270" s="157"/>
      <c r="CK270" s="158"/>
      <c r="CL270" s="158"/>
      <c r="CM270" s="159"/>
      <c r="CN270" s="158"/>
      <c r="CO270" s="158"/>
      <c r="CP270" s="158"/>
      <c r="CQ270" s="158"/>
      <c r="CR270" s="158"/>
      <c r="CS270" s="158"/>
      <c r="CT270" s="158"/>
      <c r="CU270" s="158"/>
      <c r="CV270" s="158"/>
      <c r="CW270" s="158"/>
      <c r="CX270" s="158"/>
      <c r="CY270" s="158"/>
      <c r="CZ270" s="158"/>
    </row>
    <row r="271" spans="13:104">
      <c r="M271" s="177"/>
      <c r="CG271" s="157"/>
      <c r="CH271" s="157"/>
      <c r="CI271" s="157"/>
      <c r="CJ271" s="157"/>
      <c r="CK271" s="158"/>
      <c r="CL271" s="158"/>
      <c r="CM271" s="159"/>
      <c r="CN271" s="158"/>
      <c r="CO271" s="158"/>
      <c r="CP271" s="158"/>
      <c r="CQ271" s="158"/>
      <c r="CR271" s="158"/>
      <c r="CS271" s="158"/>
      <c r="CT271" s="158"/>
      <c r="CU271" s="158"/>
      <c r="CV271" s="158"/>
      <c r="CW271" s="158"/>
      <c r="CX271" s="158"/>
      <c r="CY271" s="158"/>
      <c r="CZ271" s="158"/>
    </row>
    <row r="272" spans="13:104">
      <c r="M272" s="177"/>
      <c r="CG272" s="157"/>
      <c r="CH272" s="157"/>
      <c r="CI272" s="157"/>
      <c r="CJ272" s="157"/>
      <c r="CK272" s="158"/>
      <c r="CL272" s="158"/>
      <c r="CM272" s="159"/>
      <c r="CN272" s="158"/>
      <c r="CO272" s="158"/>
      <c r="CP272" s="158"/>
      <c r="CQ272" s="158"/>
      <c r="CR272" s="158"/>
      <c r="CS272" s="158"/>
      <c r="CT272" s="158"/>
      <c r="CU272" s="158"/>
      <c r="CV272" s="158"/>
      <c r="CW272" s="158"/>
      <c r="CX272" s="158"/>
      <c r="CY272" s="158"/>
      <c r="CZ272" s="158"/>
    </row>
    <row r="273" spans="13:104">
      <c r="M273" s="177"/>
      <c r="CG273" s="157"/>
      <c r="CH273" s="157"/>
      <c r="CI273" s="157"/>
      <c r="CJ273" s="157"/>
      <c r="CK273" s="158"/>
      <c r="CL273" s="158"/>
      <c r="CM273" s="159"/>
      <c r="CN273" s="158"/>
      <c r="CO273" s="158"/>
      <c r="CP273" s="158"/>
      <c r="CQ273" s="158"/>
      <c r="CR273" s="158"/>
      <c r="CS273" s="158"/>
      <c r="CT273" s="158"/>
      <c r="CU273" s="158"/>
      <c r="CV273" s="158"/>
      <c r="CW273" s="158"/>
      <c r="CX273" s="158"/>
      <c r="CY273" s="158"/>
      <c r="CZ273" s="158"/>
    </row>
    <row r="274" spans="13:104">
      <c r="M274" s="177"/>
      <c r="CG274" s="157"/>
      <c r="CH274" s="157"/>
      <c r="CI274" s="157"/>
      <c r="CJ274" s="157"/>
      <c r="CK274" s="158"/>
      <c r="CL274" s="158"/>
      <c r="CM274" s="159"/>
      <c r="CN274" s="158"/>
      <c r="CO274" s="158"/>
      <c r="CP274" s="158"/>
      <c r="CQ274" s="158"/>
      <c r="CR274" s="158"/>
      <c r="CS274" s="158"/>
      <c r="CT274" s="158"/>
      <c r="CU274" s="158"/>
      <c r="CV274" s="158"/>
      <c r="CW274" s="158"/>
      <c r="CX274" s="158"/>
      <c r="CY274" s="158"/>
      <c r="CZ274" s="158"/>
    </row>
    <row r="275" spans="13:104">
      <c r="M275" s="177"/>
      <c r="CG275" s="157"/>
      <c r="CH275" s="157"/>
      <c r="CI275" s="157"/>
      <c r="CJ275" s="157"/>
      <c r="CK275" s="158"/>
      <c r="CL275" s="158"/>
      <c r="CM275" s="159"/>
      <c r="CN275" s="158"/>
      <c r="CO275" s="158"/>
      <c r="CP275" s="158"/>
      <c r="CQ275" s="158"/>
      <c r="CR275" s="158"/>
      <c r="CS275" s="158"/>
      <c r="CT275" s="158"/>
      <c r="CU275" s="158"/>
      <c r="CV275" s="158"/>
      <c r="CW275" s="158"/>
      <c r="CX275" s="158"/>
      <c r="CY275" s="158"/>
      <c r="CZ275" s="158"/>
    </row>
    <row r="276" spans="13:104">
      <c r="M276" s="177"/>
      <c r="CG276" s="157"/>
      <c r="CH276" s="157"/>
      <c r="CI276" s="157"/>
      <c r="CJ276" s="157"/>
      <c r="CK276" s="158"/>
      <c r="CL276" s="158"/>
      <c r="CM276" s="159"/>
      <c r="CN276" s="158"/>
      <c r="CO276" s="158"/>
      <c r="CP276" s="158"/>
      <c r="CQ276" s="158"/>
      <c r="CR276" s="158"/>
      <c r="CS276" s="158"/>
      <c r="CT276" s="158"/>
      <c r="CU276" s="158"/>
      <c r="CV276" s="158"/>
      <c r="CW276" s="158"/>
      <c r="CX276" s="158"/>
      <c r="CY276" s="158"/>
      <c r="CZ276" s="158"/>
    </row>
    <row r="277" spans="13:104">
      <c r="M277" s="177"/>
      <c r="CG277" s="157"/>
      <c r="CH277" s="157"/>
      <c r="CI277" s="157"/>
      <c r="CJ277" s="157"/>
      <c r="CK277" s="158"/>
      <c r="CL277" s="158"/>
      <c r="CM277" s="159"/>
      <c r="CN277" s="158"/>
      <c r="CO277" s="158"/>
      <c r="CP277" s="158"/>
      <c r="CQ277" s="158"/>
      <c r="CR277" s="158"/>
      <c r="CS277" s="158"/>
      <c r="CT277" s="158"/>
      <c r="CU277" s="158"/>
      <c r="CV277" s="158"/>
      <c r="CW277" s="158"/>
      <c r="CX277" s="158"/>
      <c r="CY277" s="158"/>
      <c r="CZ277" s="158"/>
    </row>
    <row r="278" spans="13:104">
      <c r="M278" s="177"/>
      <c r="CG278" s="157"/>
      <c r="CH278" s="157"/>
      <c r="CI278" s="157"/>
      <c r="CJ278" s="157"/>
      <c r="CK278" s="158"/>
      <c r="CL278" s="158"/>
      <c r="CM278" s="159"/>
      <c r="CN278" s="158"/>
      <c r="CO278" s="158"/>
      <c r="CP278" s="158"/>
      <c r="CQ278" s="158"/>
      <c r="CR278" s="158"/>
      <c r="CS278" s="158"/>
      <c r="CT278" s="158"/>
      <c r="CU278" s="158"/>
      <c r="CV278" s="158"/>
      <c r="CW278" s="158"/>
      <c r="CX278" s="158"/>
      <c r="CY278" s="158"/>
      <c r="CZ278" s="158"/>
    </row>
    <row r="279" spans="13:104">
      <c r="M279" s="177"/>
      <c r="CG279" s="157"/>
      <c r="CH279" s="157"/>
      <c r="CI279" s="157"/>
      <c r="CJ279" s="157"/>
      <c r="CK279" s="158"/>
      <c r="CL279" s="158"/>
      <c r="CM279" s="159"/>
      <c r="CN279" s="158"/>
      <c r="CO279" s="158"/>
      <c r="CP279" s="158"/>
      <c r="CQ279" s="158"/>
      <c r="CR279" s="158"/>
      <c r="CS279" s="158"/>
      <c r="CT279" s="158"/>
      <c r="CU279" s="158"/>
      <c r="CV279" s="158"/>
      <c r="CW279" s="158"/>
      <c r="CX279" s="158"/>
      <c r="CY279" s="158"/>
      <c r="CZ279" s="158"/>
    </row>
    <row r="280" spans="13:104">
      <c r="M280" s="177"/>
      <c r="CG280" s="157"/>
      <c r="CH280" s="157"/>
      <c r="CI280" s="157"/>
      <c r="CJ280" s="157"/>
      <c r="CK280" s="158"/>
      <c r="CL280" s="158"/>
      <c r="CM280" s="159"/>
      <c r="CN280" s="158"/>
      <c r="CO280" s="158"/>
      <c r="CP280" s="158"/>
      <c r="CQ280" s="158"/>
      <c r="CR280" s="158"/>
      <c r="CS280" s="158"/>
      <c r="CT280" s="158"/>
      <c r="CU280" s="158"/>
      <c r="CV280" s="158"/>
      <c r="CW280" s="158"/>
      <c r="CX280" s="158"/>
      <c r="CY280" s="158"/>
      <c r="CZ280" s="158"/>
    </row>
    <row r="281" spans="13:104">
      <c r="M281" s="177"/>
      <c r="CG281" s="157"/>
      <c r="CH281" s="157"/>
      <c r="CI281" s="157"/>
      <c r="CJ281" s="157"/>
      <c r="CK281" s="158"/>
      <c r="CL281" s="158"/>
      <c r="CM281" s="159"/>
      <c r="CN281" s="158"/>
      <c r="CO281" s="158"/>
      <c r="CP281" s="158"/>
      <c r="CQ281" s="158"/>
      <c r="CR281" s="158"/>
      <c r="CS281" s="158"/>
      <c r="CT281" s="158"/>
      <c r="CU281" s="158"/>
      <c r="CV281" s="158"/>
      <c r="CW281" s="158"/>
      <c r="CX281" s="158"/>
      <c r="CY281" s="158"/>
      <c r="CZ281" s="158"/>
    </row>
    <row r="282" spans="13:104">
      <c r="M282" s="177"/>
      <c r="CG282" s="157"/>
      <c r="CH282" s="157"/>
      <c r="CI282" s="157"/>
      <c r="CJ282" s="157"/>
      <c r="CK282" s="158"/>
      <c r="CL282" s="158"/>
      <c r="CM282" s="159"/>
      <c r="CN282" s="158"/>
      <c r="CO282" s="158"/>
      <c r="CP282" s="158"/>
      <c r="CQ282" s="158"/>
      <c r="CR282" s="158"/>
      <c r="CS282" s="158"/>
      <c r="CT282" s="158"/>
      <c r="CU282" s="158"/>
      <c r="CV282" s="158"/>
      <c r="CW282" s="158"/>
      <c r="CX282" s="158"/>
      <c r="CY282" s="158"/>
      <c r="CZ282" s="158"/>
    </row>
    <row r="283" spans="13:104">
      <c r="M283" s="177"/>
      <c r="CG283" s="157"/>
      <c r="CH283" s="157"/>
      <c r="CI283" s="157"/>
      <c r="CJ283" s="157"/>
      <c r="CK283" s="158"/>
      <c r="CL283" s="158"/>
      <c r="CM283" s="159"/>
      <c r="CN283" s="158"/>
      <c r="CO283" s="158"/>
      <c r="CP283" s="158"/>
      <c r="CQ283" s="158"/>
      <c r="CR283" s="158"/>
      <c r="CS283" s="158"/>
      <c r="CT283" s="158"/>
      <c r="CU283" s="158"/>
      <c r="CV283" s="158"/>
      <c r="CW283" s="158"/>
      <c r="CX283" s="158"/>
      <c r="CY283" s="158"/>
      <c r="CZ283" s="158"/>
    </row>
    <row r="284" spans="13:104">
      <c r="M284" s="177"/>
      <c r="CG284" s="157"/>
      <c r="CH284" s="157"/>
      <c r="CI284" s="157"/>
      <c r="CJ284" s="157"/>
      <c r="CK284" s="158"/>
      <c r="CL284" s="158"/>
      <c r="CM284" s="159"/>
      <c r="CN284" s="158"/>
      <c r="CO284" s="158"/>
      <c r="CP284" s="158"/>
      <c r="CQ284" s="158"/>
      <c r="CR284" s="158"/>
      <c r="CS284" s="158"/>
      <c r="CT284" s="158"/>
      <c r="CU284" s="158"/>
      <c r="CV284" s="158"/>
      <c r="CW284" s="158"/>
      <c r="CX284" s="158"/>
      <c r="CY284" s="158"/>
      <c r="CZ284" s="158"/>
    </row>
    <row r="285" spans="13:104">
      <c r="M285" s="177"/>
      <c r="CG285" s="157"/>
      <c r="CH285" s="157"/>
      <c r="CI285" s="157"/>
      <c r="CJ285" s="157"/>
      <c r="CK285" s="158"/>
      <c r="CL285" s="158"/>
      <c r="CM285" s="159"/>
      <c r="CN285" s="158"/>
      <c r="CO285" s="158"/>
      <c r="CP285" s="158"/>
      <c r="CQ285" s="158"/>
      <c r="CR285" s="158"/>
      <c r="CS285" s="158"/>
      <c r="CT285" s="158"/>
      <c r="CU285" s="158"/>
      <c r="CV285" s="158"/>
      <c r="CW285" s="158"/>
      <c r="CX285" s="158"/>
      <c r="CY285" s="158"/>
      <c r="CZ285" s="158"/>
    </row>
    <row r="286" spans="13:104">
      <c r="M286" s="177"/>
      <c r="CG286" s="157"/>
      <c r="CH286" s="157"/>
      <c r="CI286" s="157"/>
      <c r="CJ286" s="157"/>
      <c r="CK286" s="158"/>
      <c r="CL286" s="158"/>
      <c r="CM286" s="159"/>
      <c r="CN286" s="158"/>
      <c r="CO286" s="158"/>
      <c r="CP286" s="158"/>
      <c r="CQ286" s="158"/>
      <c r="CR286" s="158"/>
      <c r="CS286" s="158"/>
      <c r="CT286" s="158"/>
      <c r="CU286" s="158"/>
      <c r="CV286" s="158"/>
      <c r="CW286" s="158"/>
      <c r="CX286" s="158"/>
      <c r="CY286" s="158"/>
      <c r="CZ286" s="158"/>
    </row>
    <row r="287" spans="13:104">
      <c r="M287" s="177"/>
      <c r="CG287" s="157"/>
      <c r="CH287" s="157"/>
      <c r="CI287" s="157"/>
      <c r="CJ287" s="157"/>
      <c r="CK287" s="158"/>
      <c r="CL287" s="158"/>
      <c r="CM287" s="159"/>
      <c r="CN287" s="158"/>
      <c r="CO287" s="158"/>
      <c r="CP287" s="158"/>
      <c r="CQ287" s="158"/>
      <c r="CR287" s="158"/>
      <c r="CS287" s="158"/>
      <c r="CT287" s="158"/>
      <c r="CU287" s="158"/>
      <c r="CV287" s="158"/>
      <c r="CW287" s="158"/>
      <c r="CX287" s="158"/>
      <c r="CY287" s="158"/>
      <c r="CZ287" s="158"/>
    </row>
    <row r="288" spans="13:104">
      <c r="M288" s="177"/>
      <c r="CG288" s="157"/>
      <c r="CH288" s="157"/>
      <c r="CI288" s="157"/>
      <c r="CJ288" s="157"/>
      <c r="CK288" s="158"/>
      <c r="CL288" s="158"/>
      <c r="CM288" s="159"/>
      <c r="CN288" s="158"/>
      <c r="CO288" s="158"/>
      <c r="CP288" s="158"/>
      <c r="CQ288" s="158"/>
      <c r="CR288" s="158"/>
      <c r="CS288" s="158"/>
      <c r="CT288" s="158"/>
      <c r="CU288" s="158"/>
      <c r="CV288" s="158"/>
      <c r="CW288" s="158"/>
      <c r="CX288" s="158"/>
      <c r="CY288" s="158"/>
      <c r="CZ288" s="158"/>
    </row>
    <row r="289" spans="13:104">
      <c r="M289" s="177"/>
      <c r="CG289" s="157"/>
      <c r="CH289" s="157"/>
      <c r="CI289" s="157"/>
      <c r="CJ289" s="157"/>
      <c r="CK289" s="158"/>
      <c r="CL289" s="158"/>
      <c r="CM289" s="159"/>
      <c r="CN289" s="158"/>
      <c r="CO289" s="158"/>
      <c r="CP289" s="158"/>
      <c r="CQ289" s="158"/>
      <c r="CR289" s="158"/>
      <c r="CS289" s="158"/>
      <c r="CT289" s="158"/>
      <c r="CU289" s="158"/>
      <c r="CV289" s="158"/>
      <c r="CW289" s="158"/>
      <c r="CX289" s="158"/>
      <c r="CY289" s="158"/>
      <c r="CZ289" s="158"/>
    </row>
    <row r="290" spans="13:104">
      <c r="M290" s="177"/>
      <c r="CG290" s="157"/>
      <c r="CH290" s="157"/>
      <c r="CI290" s="157"/>
      <c r="CJ290" s="157"/>
      <c r="CK290" s="158"/>
      <c r="CL290" s="158"/>
      <c r="CM290" s="159"/>
      <c r="CN290" s="158"/>
      <c r="CO290" s="158"/>
      <c r="CP290" s="158"/>
      <c r="CQ290" s="158"/>
      <c r="CR290" s="158"/>
      <c r="CS290" s="158"/>
      <c r="CT290" s="158"/>
      <c r="CU290" s="158"/>
      <c r="CV290" s="158"/>
      <c r="CW290" s="158"/>
      <c r="CX290" s="158"/>
      <c r="CY290" s="158"/>
      <c r="CZ290" s="158"/>
    </row>
    <row r="291" spans="13:104">
      <c r="M291" s="177"/>
      <c r="CG291" s="157"/>
      <c r="CH291" s="157"/>
      <c r="CI291" s="157"/>
      <c r="CJ291" s="157"/>
      <c r="CK291" s="158"/>
      <c r="CL291" s="158"/>
      <c r="CM291" s="159"/>
      <c r="CN291" s="158"/>
      <c r="CO291" s="158"/>
      <c r="CP291" s="158"/>
      <c r="CQ291" s="158"/>
      <c r="CR291" s="158"/>
      <c r="CS291" s="158"/>
      <c r="CT291" s="158"/>
      <c r="CU291" s="158"/>
      <c r="CV291" s="158"/>
      <c r="CW291" s="158"/>
      <c r="CX291" s="158"/>
      <c r="CY291" s="158"/>
      <c r="CZ291" s="158"/>
    </row>
    <row r="292" spans="13:104">
      <c r="M292" s="177"/>
      <c r="CG292" s="157"/>
      <c r="CH292" s="157"/>
      <c r="CI292" s="157"/>
      <c r="CJ292" s="157"/>
      <c r="CK292" s="158"/>
      <c r="CL292" s="158"/>
      <c r="CM292" s="159"/>
      <c r="CN292" s="158"/>
      <c r="CO292" s="158"/>
      <c r="CP292" s="158"/>
      <c r="CQ292" s="158"/>
      <c r="CR292" s="158"/>
      <c r="CS292" s="158"/>
      <c r="CT292" s="158"/>
      <c r="CU292" s="158"/>
      <c r="CV292" s="158"/>
      <c r="CW292" s="158"/>
      <c r="CX292" s="158"/>
      <c r="CY292" s="158"/>
      <c r="CZ292" s="158"/>
    </row>
    <row r="293" spans="13:104">
      <c r="M293" s="177"/>
      <c r="CG293" s="157"/>
      <c r="CH293" s="157"/>
      <c r="CI293" s="157"/>
      <c r="CJ293" s="157"/>
      <c r="CK293" s="158"/>
      <c r="CL293" s="158"/>
      <c r="CM293" s="159"/>
      <c r="CN293" s="158"/>
      <c r="CO293" s="158"/>
      <c r="CP293" s="158"/>
      <c r="CQ293" s="158"/>
      <c r="CR293" s="158"/>
      <c r="CS293" s="158"/>
      <c r="CT293" s="158"/>
      <c r="CU293" s="158"/>
      <c r="CV293" s="158"/>
      <c r="CW293" s="158"/>
      <c r="CX293" s="158"/>
      <c r="CY293" s="158"/>
      <c r="CZ293" s="158"/>
    </row>
    <row r="294" spans="13:104">
      <c r="M294" s="177"/>
      <c r="CG294" s="157"/>
      <c r="CH294" s="157"/>
      <c r="CI294" s="157"/>
      <c r="CJ294" s="157"/>
      <c r="CK294" s="158"/>
      <c r="CL294" s="158"/>
      <c r="CM294" s="159"/>
      <c r="CN294" s="158"/>
      <c r="CO294" s="158"/>
      <c r="CP294" s="158"/>
      <c r="CQ294" s="158"/>
      <c r="CR294" s="158"/>
      <c r="CS294" s="158"/>
      <c r="CT294" s="158"/>
      <c r="CU294" s="158"/>
      <c r="CV294" s="158"/>
      <c r="CW294" s="158"/>
      <c r="CX294" s="158"/>
      <c r="CY294" s="158"/>
      <c r="CZ294" s="158"/>
    </row>
    <row r="295" spans="13:104">
      <c r="M295" s="177"/>
      <c r="CG295" s="157"/>
      <c r="CH295" s="157"/>
      <c r="CI295" s="157"/>
      <c r="CJ295" s="157"/>
      <c r="CK295" s="158"/>
      <c r="CL295" s="158"/>
      <c r="CM295" s="159"/>
      <c r="CN295" s="158"/>
      <c r="CO295" s="158"/>
      <c r="CP295" s="158"/>
      <c r="CQ295" s="158"/>
      <c r="CR295" s="158"/>
      <c r="CS295" s="158"/>
      <c r="CT295" s="158"/>
      <c r="CU295" s="158"/>
      <c r="CV295" s="158"/>
      <c r="CW295" s="158"/>
      <c r="CX295" s="158"/>
      <c r="CY295" s="158"/>
      <c r="CZ295" s="158"/>
    </row>
    <row r="296" spans="13:104">
      <c r="M296" s="177"/>
      <c r="CG296" s="157"/>
      <c r="CH296" s="157"/>
      <c r="CI296" s="157"/>
      <c r="CJ296" s="157"/>
      <c r="CK296" s="158"/>
      <c r="CL296" s="158"/>
      <c r="CM296" s="159"/>
      <c r="CN296" s="158"/>
      <c r="CO296" s="158"/>
      <c r="CP296" s="158"/>
      <c r="CQ296" s="158"/>
      <c r="CR296" s="158"/>
      <c r="CS296" s="158"/>
      <c r="CT296" s="158"/>
      <c r="CU296" s="158"/>
      <c r="CV296" s="158"/>
      <c r="CW296" s="158"/>
      <c r="CX296" s="158"/>
      <c r="CY296" s="158"/>
      <c r="CZ296" s="158"/>
    </row>
    <row r="297" spans="13:104">
      <c r="M297" s="177"/>
      <c r="CG297" s="157"/>
      <c r="CH297" s="157"/>
      <c r="CI297" s="157"/>
      <c r="CJ297" s="157"/>
      <c r="CK297" s="158"/>
      <c r="CL297" s="158"/>
      <c r="CM297" s="159"/>
      <c r="CN297" s="158"/>
      <c r="CO297" s="158"/>
      <c r="CP297" s="158"/>
      <c r="CQ297" s="158"/>
      <c r="CR297" s="158"/>
      <c r="CS297" s="158"/>
      <c r="CT297" s="158"/>
      <c r="CU297" s="158"/>
      <c r="CV297" s="158"/>
      <c r="CW297" s="158"/>
      <c r="CX297" s="158"/>
      <c r="CY297" s="158"/>
      <c r="CZ297" s="158"/>
    </row>
    <row r="298" spans="13:104">
      <c r="M298" s="177"/>
      <c r="CG298" s="157"/>
      <c r="CH298" s="157"/>
      <c r="CI298" s="157"/>
      <c r="CJ298" s="157"/>
      <c r="CK298" s="158"/>
      <c r="CL298" s="158"/>
      <c r="CM298" s="159"/>
      <c r="CN298" s="158"/>
      <c r="CO298" s="158"/>
      <c r="CP298" s="158"/>
      <c r="CQ298" s="158"/>
      <c r="CR298" s="158"/>
      <c r="CS298" s="158"/>
      <c r="CT298" s="158"/>
      <c r="CU298" s="158"/>
      <c r="CV298" s="158"/>
      <c r="CW298" s="158"/>
      <c r="CX298" s="158"/>
      <c r="CY298" s="158"/>
      <c r="CZ298" s="158"/>
    </row>
    <row r="299" spans="13:104">
      <c r="M299" s="177"/>
      <c r="CG299" s="157"/>
      <c r="CH299" s="157"/>
      <c r="CI299" s="157"/>
      <c r="CJ299" s="157"/>
      <c r="CK299" s="158"/>
      <c r="CL299" s="158"/>
      <c r="CM299" s="159"/>
      <c r="CN299" s="158"/>
      <c r="CO299" s="158"/>
      <c r="CP299" s="158"/>
      <c r="CQ299" s="158"/>
      <c r="CR299" s="158"/>
      <c r="CS299" s="158"/>
      <c r="CT299" s="158"/>
      <c r="CU299" s="158"/>
      <c r="CV299" s="158"/>
      <c r="CW299" s="158"/>
      <c r="CX299" s="158"/>
      <c r="CY299" s="158"/>
      <c r="CZ299" s="158"/>
    </row>
    <row r="300" spans="13:104">
      <c r="M300" s="177"/>
      <c r="CG300" s="157"/>
      <c r="CH300" s="157"/>
      <c r="CI300" s="157"/>
      <c r="CJ300" s="157"/>
      <c r="CK300" s="158"/>
      <c r="CL300" s="158"/>
      <c r="CM300" s="159"/>
      <c r="CN300" s="158"/>
      <c r="CO300" s="158"/>
      <c r="CP300" s="158"/>
      <c r="CQ300" s="158"/>
      <c r="CR300" s="158"/>
      <c r="CS300" s="158"/>
      <c r="CT300" s="158"/>
      <c r="CU300" s="158"/>
      <c r="CV300" s="158"/>
      <c r="CW300" s="158"/>
      <c r="CX300" s="158"/>
      <c r="CY300" s="158"/>
      <c r="CZ300" s="158"/>
    </row>
    <row r="301" spans="13:104">
      <c r="M301" s="177"/>
      <c r="CG301" s="157"/>
      <c r="CH301" s="157"/>
      <c r="CI301" s="157"/>
      <c r="CJ301" s="157"/>
      <c r="CK301" s="158"/>
      <c r="CL301" s="158"/>
      <c r="CM301" s="159"/>
      <c r="CN301" s="158"/>
      <c r="CO301" s="158"/>
      <c r="CP301" s="158"/>
      <c r="CQ301" s="158"/>
      <c r="CR301" s="158"/>
      <c r="CS301" s="158"/>
      <c r="CT301" s="158"/>
      <c r="CU301" s="158"/>
      <c r="CV301" s="158"/>
      <c r="CW301" s="158"/>
      <c r="CX301" s="158"/>
      <c r="CY301" s="158"/>
      <c r="CZ301" s="158"/>
    </row>
    <row r="302" spans="13:104">
      <c r="M302" s="177"/>
      <c r="CG302" s="157"/>
      <c r="CH302" s="157"/>
      <c r="CI302" s="157"/>
      <c r="CJ302" s="157"/>
      <c r="CK302" s="158"/>
      <c r="CL302" s="158"/>
      <c r="CM302" s="159"/>
      <c r="CN302" s="158"/>
      <c r="CO302" s="158"/>
      <c r="CP302" s="158"/>
      <c r="CQ302" s="158"/>
      <c r="CR302" s="158"/>
      <c r="CS302" s="158"/>
      <c r="CT302" s="158"/>
      <c r="CU302" s="158"/>
      <c r="CV302" s="158"/>
      <c r="CW302" s="158"/>
      <c r="CX302" s="158"/>
      <c r="CY302" s="158"/>
      <c r="CZ302" s="158"/>
    </row>
    <row r="303" spans="13:104">
      <c r="M303" s="177"/>
      <c r="CG303" s="157"/>
      <c r="CH303" s="157"/>
      <c r="CI303" s="157"/>
      <c r="CJ303" s="157"/>
      <c r="CK303" s="158"/>
      <c r="CL303" s="158"/>
      <c r="CM303" s="159"/>
      <c r="CN303" s="158"/>
      <c r="CO303" s="158"/>
      <c r="CP303" s="158"/>
      <c r="CQ303" s="158"/>
      <c r="CR303" s="158"/>
      <c r="CS303" s="158"/>
      <c r="CT303" s="158"/>
      <c r="CU303" s="158"/>
      <c r="CV303" s="158"/>
      <c r="CW303" s="158"/>
      <c r="CX303" s="158"/>
      <c r="CY303" s="158"/>
      <c r="CZ303" s="158"/>
    </row>
    <row r="304" spans="13:104">
      <c r="M304" s="177"/>
      <c r="CG304" s="157"/>
      <c r="CH304" s="157"/>
      <c r="CI304" s="157"/>
      <c r="CJ304" s="157"/>
      <c r="CK304" s="158"/>
      <c r="CL304" s="158"/>
      <c r="CM304" s="159"/>
      <c r="CN304" s="158"/>
      <c r="CO304" s="158"/>
      <c r="CP304" s="158"/>
      <c r="CQ304" s="158"/>
      <c r="CR304" s="158"/>
      <c r="CS304" s="158"/>
      <c r="CT304" s="158"/>
      <c r="CU304" s="158"/>
      <c r="CV304" s="158"/>
      <c r="CW304" s="158"/>
      <c r="CX304" s="158"/>
      <c r="CY304" s="158"/>
      <c r="CZ304" s="158"/>
    </row>
    <row r="305" spans="13:13">
      <c r="M305" s="177"/>
    </row>
    <row r="306" spans="13:13">
      <c r="M306" s="177"/>
    </row>
    <row r="307" spans="13:13">
      <c r="M307" s="177"/>
    </row>
    <row r="308" spans="13:13">
      <c r="M308" s="177"/>
    </row>
    <row r="309" spans="13:13">
      <c r="M309" s="177"/>
    </row>
    <row r="310" spans="13:13">
      <c r="M310" s="177"/>
    </row>
    <row r="311" spans="13:13">
      <c r="M311" s="177"/>
    </row>
    <row r="312" spans="13:13">
      <c r="M312" s="177"/>
    </row>
    <row r="313" spans="13:13">
      <c r="M313" s="177"/>
    </row>
    <row r="314" spans="13:13">
      <c r="M314" s="177"/>
    </row>
    <row r="315" spans="13:13">
      <c r="M315" s="177"/>
    </row>
    <row r="316" spans="13:13">
      <c r="M316" s="177"/>
    </row>
    <row r="317" spans="13:13">
      <c r="M317" s="177"/>
    </row>
    <row r="318" spans="13:13">
      <c r="M318" s="177"/>
    </row>
    <row r="319" spans="13:13">
      <c r="M319" s="177"/>
    </row>
    <row r="320" spans="13:13">
      <c r="M320" s="177"/>
    </row>
    <row r="321" spans="13:13">
      <c r="M321" s="177"/>
    </row>
    <row r="322" spans="13:13">
      <c r="M322" s="177"/>
    </row>
    <row r="323" spans="13:13">
      <c r="M323" s="177"/>
    </row>
    <row r="324" spans="13:13">
      <c r="M324" s="177"/>
    </row>
    <row r="325" spans="13:13">
      <c r="M325" s="177"/>
    </row>
    <row r="326" spans="13:13">
      <c r="M326" s="177"/>
    </row>
    <row r="327" spans="13:13">
      <c r="M327" s="177"/>
    </row>
    <row r="328" spans="13:13">
      <c r="M328" s="177"/>
    </row>
    <row r="329" spans="13:13">
      <c r="M329" s="177"/>
    </row>
    <row r="330" spans="13:13">
      <c r="M330" s="177"/>
    </row>
    <row r="331" spans="13:13">
      <c r="M331" s="177"/>
    </row>
    <row r="332" spans="13:13">
      <c r="M332" s="177"/>
    </row>
    <row r="333" spans="13:13">
      <c r="M333" s="177"/>
    </row>
    <row r="334" spans="13:13">
      <c r="M334" s="177"/>
    </row>
    <row r="335" spans="13:13">
      <c r="M335" s="177"/>
    </row>
    <row r="336" spans="13:13">
      <c r="M336" s="177"/>
    </row>
    <row r="337" spans="13:13">
      <c r="M337" s="177"/>
    </row>
    <row r="338" spans="13:13">
      <c r="M338" s="177"/>
    </row>
    <row r="339" spans="13:13">
      <c r="M339" s="177"/>
    </row>
    <row r="340" spans="13:13">
      <c r="M340" s="177"/>
    </row>
    <row r="341" spans="13:13">
      <c r="M341" s="177"/>
    </row>
    <row r="342" spans="13:13">
      <c r="M342" s="177"/>
    </row>
  </sheetData>
  <sheetProtection algorithmName="SHA-512" hashValue="sXhSI7b2iXExbhwcsvDVNVKNEKH8dd83S2AVSBWdTswEMN06GRYAnO+T/HQIYi6MbzshMfl1jo/HD/8Nm1WTnQ==" saltValue="SEve0z8NOV17BoS4lEmsTw==" spinCount="100000" sheet="1" selectLockedCells="1"/>
  <sortState xmlns:xlrd2="http://schemas.microsoft.com/office/spreadsheetml/2017/richdata2" ref="DK5:DS154">
    <sortCondition ref="DR5:DR154"/>
  </sortState>
  <mergeCells count="16">
    <mergeCell ref="L62:O62"/>
    <mergeCell ref="Q62:T62"/>
    <mergeCell ref="A1:B2"/>
    <mergeCell ref="CP3:CW3"/>
    <mergeCell ref="BB3:BJ3"/>
    <mergeCell ref="K4:K5"/>
    <mergeCell ref="J4:J5"/>
    <mergeCell ref="L4:L5"/>
    <mergeCell ref="BL3:BT3"/>
    <mergeCell ref="BV3:CD3"/>
    <mergeCell ref="CF3:CN3"/>
    <mergeCell ref="AM30:AN30"/>
    <mergeCell ref="K17:M17"/>
    <mergeCell ref="O17:Q17"/>
    <mergeCell ref="K32:M32"/>
    <mergeCell ref="O32:Q32"/>
  </mergeCells>
  <conditionalFormatting sqref="E8:E9">
    <cfRule type="expression" dxfId="367" priority="2" stopIfTrue="1">
      <formula>OR($E$8="",$E$9="",$E$10="",$E$11="")</formula>
    </cfRule>
    <cfRule type="expression" dxfId="366" priority="3" stopIfTrue="1">
      <formula>$E$8&gt;$E$9</formula>
    </cfRule>
  </conditionalFormatting>
  <conditionalFormatting sqref="E9">
    <cfRule type="expression" dxfId="365" priority="1" stopIfTrue="1">
      <formula>$E$9&lt;$A$16</formula>
    </cfRule>
  </conditionalFormatting>
  <conditionalFormatting sqref="E10">
    <cfRule type="expression" dxfId="364" priority="1024">
      <formula>$E$10&gt;$B$16</formula>
    </cfRule>
    <cfRule type="expression" dxfId="363" priority="1027" stopIfTrue="1">
      <formula>OR($E$10&gt;=$A$10,$E$10=$E$11,$A$9&lt;$E$10,$E$10-$E$9&gt;365,$E$11&lt;$E$10)</formula>
    </cfRule>
    <cfRule type="expression" dxfId="362" priority="1026" stopIfTrue="1">
      <formula>OR($E$10&lt;$E$9,$E$10&lt;$A$8-1)</formula>
    </cfRule>
    <cfRule type="expression" dxfId="361" priority="1025" stopIfTrue="1">
      <formula>OR($E$9="",$E$10="",$E$11="")</formula>
    </cfRule>
  </conditionalFormatting>
  <conditionalFormatting sqref="E11">
    <cfRule type="expression" dxfId="360" priority="1007" stopIfTrue="1">
      <formula>$E$11&lt;=$E$10</formula>
    </cfRule>
    <cfRule type="expression" dxfId="359" priority="1008" stopIfTrue="1">
      <formula>OR($A$9&lt;$E$10,$E$11&gt;$A$11)</formula>
    </cfRule>
    <cfRule type="expression" dxfId="358" priority="1006" stopIfTrue="1">
      <formula>OR($E$9="",$A$9="",$E$10="",$E$11="")</formula>
    </cfRule>
  </conditionalFormatting>
  <conditionalFormatting sqref="E19:E25 E30 E34:E59 E64:E70">
    <cfRule type="expression" dxfId="357" priority="56" stopIfTrue="1">
      <formula>D19&lt;&gt;""</formula>
    </cfRule>
  </conditionalFormatting>
  <conditionalFormatting sqref="F19:F25">
    <cfRule type="expression" dxfId="356" priority="8" stopIfTrue="1">
      <formula>AND(F19&lt;&gt;"",OR(F19&lt;$E$9,F19&gt;$E$10,F19&gt;G19))</formula>
    </cfRule>
  </conditionalFormatting>
  <conditionalFormatting sqref="F19:G25 F30:G30 F34:G59 F64:G70">
    <cfRule type="expression" dxfId="355" priority="9" stopIfTrue="1">
      <formula>$D19&lt;&gt;""</formula>
    </cfRule>
  </conditionalFormatting>
  <conditionalFormatting sqref="F34:G59">
    <cfRule type="expression" dxfId="354" priority="112" stopIfTrue="1">
      <formula>$D34&lt;&gt;""</formula>
    </cfRule>
    <cfRule type="expression" dxfId="353" priority="108" stopIfTrue="1">
      <formula>AND(F34&lt;&gt;"",OR(F34&lt;$E$9,F34&gt;$E$10))</formula>
    </cfRule>
  </conditionalFormatting>
  <conditionalFormatting sqref="F64:G70">
    <cfRule type="expression" dxfId="352" priority="90" stopIfTrue="1">
      <formula>AND(F64&lt;&gt;"",OR(F64&lt;$E$9,F64&gt;$E$10))</formula>
    </cfRule>
    <cfRule type="expression" dxfId="351" priority="92" stopIfTrue="1">
      <formula>$D64&lt;&gt;""</formula>
    </cfRule>
  </conditionalFormatting>
  <conditionalFormatting sqref="G19:G25">
    <cfRule type="expression" dxfId="350" priority="7" stopIfTrue="1">
      <formula>AND(G19&lt;&gt;"",OR(G19&lt;$E$9,G19&gt;$E$10))</formula>
    </cfRule>
  </conditionalFormatting>
  <conditionalFormatting sqref="H19:H25">
    <cfRule type="expression" dxfId="349" priority="474" stopIfTrue="1">
      <formula>D19&lt;&gt;""</formula>
    </cfRule>
  </conditionalFormatting>
  <conditionalFormatting sqref="H34:H59">
    <cfRule type="expression" dxfId="348" priority="68" stopIfTrue="1">
      <formula>D34="Other (State-Only Funded)"</formula>
    </cfRule>
  </conditionalFormatting>
  <conditionalFormatting sqref="H64:H70">
    <cfRule type="expression" dxfId="347" priority="135" stopIfTrue="1">
      <formula>D64&lt;&gt;""</formula>
    </cfRule>
  </conditionalFormatting>
  <conditionalFormatting sqref="I19:I25">
    <cfRule type="expression" dxfId="346" priority="280" stopIfTrue="1">
      <formula>D19&lt;&gt;""</formula>
    </cfRule>
  </conditionalFormatting>
  <conditionalFormatting sqref="I64:I70">
    <cfRule type="expression" dxfId="345" priority="134" stopIfTrue="1">
      <formula>K64="Day"</formula>
    </cfRule>
  </conditionalFormatting>
  <conditionalFormatting sqref="J19:J25">
    <cfRule type="expression" dxfId="344" priority="464" stopIfTrue="1">
      <formula>J19="Unavailable"</formula>
    </cfRule>
  </conditionalFormatting>
  <conditionalFormatting sqref="J64:J70">
    <cfRule type="expression" dxfId="343" priority="412" stopIfTrue="1">
      <formula>J64="Unavailable"</formula>
    </cfRule>
  </conditionalFormatting>
  <conditionalFormatting sqref="L19:L25">
    <cfRule type="expression" dxfId="342" priority="85" stopIfTrue="1">
      <formula>$K$17=""</formula>
    </cfRule>
    <cfRule type="expression" dxfId="341" priority="86" stopIfTrue="1">
      <formula>$AE19=""</formula>
    </cfRule>
    <cfRule type="expression" dxfId="340" priority="87" stopIfTrue="1">
      <formula>AK19="x"</formula>
    </cfRule>
  </conditionalFormatting>
  <conditionalFormatting sqref="L34:L59">
    <cfRule type="expression" dxfId="339" priority="993" stopIfTrue="1">
      <formula>$K$32=""</formula>
    </cfRule>
    <cfRule type="expression" dxfId="338" priority="995" stopIfTrue="1">
      <formula>$AE34="x"</formula>
    </cfRule>
    <cfRule type="expression" dxfId="337" priority="994" stopIfTrue="1">
      <formula>$I34="Unavailable"</formula>
    </cfRule>
  </conditionalFormatting>
  <conditionalFormatting sqref="M19">
    <cfRule type="expression" dxfId="336" priority="67" stopIfTrue="1">
      <formula>$AF19=""</formula>
    </cfRule>
  </conditionalFormatting>
  <conditionalFormatting sqref="M64:M70">
    <cfRule type="expression" dxfId="335" priority="1015" stopIfTrue="1">
      <formula>$AE64="x"</formula>
    </cfRule>
    <cfRule type="expression" dxfId="334" priority="1014" stopIfTrue="1">
      <formula>$L$62=""</formula>
    </cfRule>
    <cfRule type="expression" dxfId="333" priority="1016" stopIfTrue="1">
      <formula>AF64="x"</formula>
    </cfRule>
  </conditionalFormatting>
  <conditionalFormatting sqref="N34:N59">
    <cfRule type="expression" dxfId="332" priority="954" stopIfTrue="1">
      <formula>$K$32=""</formula>
    </cfRule>
    <cfRule type="expression" dxfId="331" priority="988" stopIfTrue="1">
      <formula>OR(J34="Upper Pay Limit",J34="N/A")</formula>
    </cfRule>
    <cfRule type="expression" dxfId="330" priority="989" stopIfTrue="1">
      <formula>AF34="x"</formula>
    </cfRule>
  </conditionalFormatting>
  <conditionalFormatting sqref="N64:N70">
    <cfRule type="expression" dxfId="329" priority="1011" stopIfTrue="1">
      <formula>$AG64=""</formula>
    </cfRule>
  </conditionalFormatting>
  <conditionalFormatting sqref="P19:P25">
    <cfRule type="expression" dxfId="328" priority="862" stopIfTrue="1">
      <formula>AL19="x"</formula>
    </cfRule>
    <cfRule type="expression" dxfId="327" priority="863" stopIfTrue="1">
      <formula>$AF19=""</formula>
    </cfRule>
    <cfRule type="expression" dxfId="326" priority="309" stopIfTrue="1">
      <formula>$O$17=""</formula>
    </cfRule>
  </conditionalFormatting>
  <conditionalFormatting sqref="P34:P59">
    <cfRule type="expression" dxfId="325" priority="998" stopIfTrue="1">
      <formula>$AE34="x"</formula>
    </cfRule>
    <cfRule type="expression" dxfId="324" priority="996" stopIfTrue="1">
      <formula>$O$32=""</formula>
    </cfRule>
    <cfRule type="expression" dxfId="323" priority="997" stopIfTrue="1">
      <formula>$I34="Unavailable"</formula>
    </cfRule>
  </conditionalFormatting>
  <conditionalFormatting sqref="P64:P70">
    <cfRule type="expression" dxfId="322" priority="249" stopIfTrue="1">
      <formula>$L$62=""</formula>
    </cfRule>
    <cfRule type="expression" dxfId="321" priority="916" stopIfTrue="1">
      <formula>$K64="Upper Pay Limit"</formula>
    </cfRule>
  </conditionalFormatting>
  <conditionalFormatting sqref="Q19:Q25">
    <cfRule type="expression" dxfId="320" priority="858" stopIfTrue="1">
      <formula>$AF19=""</formula>
    </cfRule>
  </conditionalFormatting>
  <conditionalFormatting sqref="R34 T34 V34:AB34 R35:AB59">
    <cfRule type="expression" dxfId="319" priority="992" stopIfTrue="1">
      <formula>OR(J34="N/A",J34="Upper Pay Limit")</formula>
    </cfRule>
  </conditionalFormatting>
  <conditionalFormatting sqref="R34 T34 V34:AC34 R35:AD59">
    <cfRule type="expression" dxfId="318" priority="991" stopIfTrue="1">
      <formula>$O$32=""</formula>
    </cfRule>
    <cfRule type="expression" dxfId="317" priority="990" stopIfTrue="1">
      <formula>$AF34="x"</formula>
    </cfRule>
  </conditionalFormatting>
  <conditionalFormatting sqref="R64:R70">
    <cfRule type="expression" dxfId="316" priority="1013" stopIfTrue="1">
      <formula>AG64="x"</formula>
    </cfRule>
    <cfRule type="expression" dxfId="315" priority="1012" stopIfTrue="1">
      <formula>$AE64="x"</formula>
    </cfRule>
    <cfRule type="expression" dxfId="314" priority="296" stopIfTrue="1">
      <formula>$Q$62=""</formula>
    </cfRule>
  </conditionalFormatting>
  <conditionalFormatting sqref="S64:S70">
    <cfRule type="expression" dxfId="313" priority="1017" stopIfTrue="1">
      <formula>$AG64=""</formula>
    </cfRule>
  </conditionalFormatting>
  <conditionalFormatting sqref="U64:AB70">
    <cfRule type="expression" dxfId="312" priority="1010" stopIfTrue="1">
      <formula>$K64="Upper Pay Limit"</formula>
    </cfRule>
    <cfRule type="expression" dxfId="311" priority="250" stopIfTrue="1">
      <formula>$Q$62=""</formula>
    </cfRule>
  </conditionalFormatting>
  <conditionalFormatting sqref="AC34 AC35:AD59">
    <cfRule type="expression" dxfId="310" priority="1023" stopIfTrue="1">
      <formula>OR(N34="N/A",N34="Upper Pay Limit")</formula>
    </cfRule>
  </conditionalFormatting>
  <dataValidations count="9">
    <dataValidation type="list" allowBlank="1" showInputMessage="1" showErrorMessage="1" sqref="E14 I64:I70 I19:I25" xr:uid="{00000000-0002-0000-0100-000000000000}">
      <formula1>$AV$5:$AV$28</formula1>
    </dataValidation>
    <dataValidation type="list" allowBlank="1" showInputMessage="1" showErrorMessage="1" sqref="J6:K8" xr:uid="{00000000-0002-0000-0100-000001000000}">
      <formula1>$AT$5:$AT$10</formula1>
    </dataValidation>
    <dataValidation type="list" allowBlank="1" showInputMessage="1" showErrorMessage="1" sqref="E12" xr:uid="{00000000-0002-0000-0100-000002000000}">
      <formula1>$AR$5:$AR$6</formula1>
    </dataValidation>
    <dataValidation type="list" allowBlank="1" showInputMessage="1" showErrorMessage="1" sqref="E13" xr:uid="{00000000-0002-0000-0100-000003000000}">
      <formula1>$AQ$5:$AQ$8</formula1>
    </dataValidation>
    <dataValidation type="list" allowBlank="1" showInputMessage="1" showErrorMessage="1" sqref="E64:E70 E34:E59 E19:E25" xr:uid="{00000000-0002-0000-0100-000004000000}">
      <formula1>$AS$15:$AS$19</formula1>
    </dataValidation>
    <dataValidation type="list" allowBlank="1" showInputMessage="1" showErrorMessage="1" sqref="E74:G74" xr:uid="{00000000-0002-0000-0100-000005000000}">
      <formula1>$AO$77:$AO$78</formula1>
    </dataValidation>
    <dataValidation type="list" allowBlank="1" showInputMessage="1" showErrorMessage="1" sqref="D64:D70" xr:uid="{00000000-0002-0000-0100-000006000000}">
      <formula1>OFFSET($FP$2,1,0,MAX($FN:$FN),1)</formula1>
    </dataValidation>
    <dataValidation type="list" allowBlank="1" showInputMessage="1" showErrorMessage="1" sqref="D34:D59" xr:uid="{00000000-0002-0000-0100-000007000000}">
      <formula1>OFFSET($ER$2,1,0,MAX($EP:$EP),1)</formula1>
    </dataValidation>
    <dataValidation type="list" allowBlank="1" showInputMessage="1" showErrorMessage="1" sqref="D19:D25" xr:uid="{00000000-0002-0000-0100-000008000000}">
      <formula1>OFFSET($FE$2,1,0,MAX($FC:$FC),1)</formula1>
    </dataValidation>
  </dataValidations>
  <pageMargins left="0.25" right="0.25" top="0.25" bottom="0.25" header="0.3" footer="0.3"/>
  <pageSetup paperSize="5" scale="43" orientation="landscape" r:id="rId1"/>
  <ignoredErrors>
    <ignoredError sqref="AS7:AS11 AY30:AY31 CD7:CM12 CD23:CM30 CD32:CM39 CD50:CM57 CD14:CM21 BP7:BP57 CD41:CM48 BP58:CM154 CZ7:DH154 DU7:EC11 EH7:EK11 DY12:EC12 FB7:FM7 EP29:EP320 ET7:EU334 CO7:CW154 DJ7:DR120 BT13:CM13 BT7:BZ12 BT31:CM31 BT23:BZ30 BT40:CM40 BT32:BZ39 BT50:BZ57 BT22:CM22 BT14:BZ21 BT49:CM49 BT41:BZ48 DJ122:DR154 DJ121:DP121 DR121 EZ36:EZ39 EY35:EY328 EV34:EV329 EO7:EO12 FB24:FU27 FB8:FD8 FF8:FM8 EQ34:ER319 EQ29:ER29 EX36:EX331 EW33:EW328 FA38:FA39 FB9:FM23 FR7:FU23 FB29:FU334 FB28:FN28 FP28:FU28 EZ41:EZ327 ES30:ES326 EH13:EK52 EH12:EK12 EO14:EO334 DU46:EC52 DU45:DV45 DX45:EC45 DU20:EC21 DU19:EB19 EQ31:ER31 ER30 FA41:FA329 DU28:EC44 DU27:DV27 DX27:EC27 DU23:EC26 DU22:DV22 DX22:EC22 EQ32:EQ33 DU12:DV18 DX13:EC18 BP155:CX334 CZ155:DS334 DU53:EE334 EG53:EM334" numberStoredAsText="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1"/>
    <pageSetUpPr fitToPage="1"/>
  </sheetPr>
  <dimension ref="A1:BQ48"/>
  <sheetViews>
    <sheetView showGridLines="0" zoomScale="80" zoomScaleNormal="80" workbookViewId="0">
      <selection activeCell="E10" sqref="E10"/>
    </sheetView>
  </sheetViews>
  <sheetFormatPr defaultRowHeight="14.4"/>
  <cols>
    <col min="1" max="1" width="17.77734375" customWidth="1"/>
    <col min="2" max="2" width="59.6640625" hidden="1" customWidth="1"/>
    <col min="3" max="3" width="37.77734375" hidden="1" customWidth="1"/>
    <col min="4" max="4" width="43.88671875" customWidth="1"/>
    <col min="5" max="5" width="21.33203125" customWidth="1"/>
    <col min="6" max="6" width="14.109375" customWidth="1"/>
    <col min="7" max="8" width="14.6640625" customWidth="1"/>
    <col min="9" max="9" width="12.109375" customWidth="1"/>
    <col min="10" max="10" width="12.5546875" customWidth="1"/>
    <col min="11" max="11" width="12.33203125" customWidth="1"/>
    <col min="12" max="12" width="13.44140625" customWidth="1"/>
    <col min="13" max="13" width="12.33203125" bestFit="1" customWidth="1"/>
    <col min="14" max="14" width="12.33203125" customWidth="1"/>
    <col min="15" max="15" width="13" customWidth="1"/>
    <col min="16" max="16" width="13.88671875" hidden="1" customWidth="1"/>
    <col min="17" max="17" width="14.44140625" hidden="1" customWidth="1"/>
    <col min="18" max="18" width="13.109375" hidden="1" customWidth="1"/>
    <col min="19" max="20" width="14.44140625" hidden="1" customWidth="1"/>
    <col min="21" max="21" width="13.88671875" hidden="1" customWidth="1"/>
    <col min="22" max="22" width="13.109375" hidden="1" customWidth="1"/>
    <col min="23" max="23" width="8.88671875" hidden="1" customWidth="1"/>
    <col min="24" max="24" width="11.6640625" hidden="1" customWidth="1"/>
    <col min="25" max="25" width="17.44140625" hidden="1" customWidth="1"/>
    <col min="26" max="26" width="9.5546875" hidden="1" customWidth="1"/>
    <col min="27" max="27" width="10.5546875" hidden="1" customWidth="1"/>
    <col min="28" max="30" width="40.5546875" hidden="1" customWidth="1"/>
    <col min="31" max="32" width="8.88671875" hidden="1" customWidth="1"/>
    <col min="33" max="38" width="14.44140625" hidden="1" customWidth="1"/>
    <col min="39" max="47" width="8.88671875" hidden="1" customWidth="1"/>
    <col min="48" max="48" width="16.109375" hidden="1" customWidth="1"/>
    <col min="49" max="49" width="15.6640625" hidden="1" customWidth="1"/>
    <col min="50" max="50" width="23.6640625" hidden="1" customWidth="1"/>
    <col min="51" max="51" width="17.88671875" hidden="1" customWidth="1"/>
    <col min="52" max="52" width="12" hidden="1" customWidth="1"/>
    <col min="53" max="53" width="14.44140625" hidden="1" customWidth="1"/>
    <col min="54" max="54" width="18.33203125" hidden="1" customWidth="1"/>
    <col min="55" max="55" width="10" hidden="1" customWidth="1"/>
    <col min="56" max="56" width="8.5546875" hidden="1" customWidth="1"/>
    <col min="57" max="57" width="5.109375" hidden="1" customWidth="1"/>
    <col min="58" max="58" width="5.5546875" hidden="1" customWidth="1"/>
    <col min="59" max="59" width="8.33203125" hidden="1" customWidth="1"/>
    <col min="60" max="60" width="17" hidden="1" customWidth="1"/>
    <col min="61" max="61" width="14.44140625" hidden="1" customWidth="1"/>
    <col min="62" max="62" width="11.6640625" hidden="1" customWidth="1"/>
    <col min="63" max="63" width="44.6640625" hidden="1" customWidth="1"/>
    <col min="64" max="64" width="26.44140625" hidden="1" customWidth="1"/>
    <col min="65" max="65" width="25.88671875" hidden="1" customWidth="1"/>
    <col min="66" max="66" width="48.44140625" hidden="1" customWidth="1"/>
    <col min="67" max="67" width="8.88671875" customWidth="1"/>
    <col min="68" max="69" width="8.6640625" customWidth="1"/>
    <col min="70" max="70" width="8.88671875" customWidth="1"/>
    <col min="71" max="73" width="8.6640625" customWidth="1"/>
    <col min="74" max="74" width="17" customWidth="1"/>
    <col min="75" max="75" width="14.44140625" customWidth="1"/>
    <col min="76" max="76" width="11.6640625" customWidth="1"/>
    <col min="77" max="77" width="44.6640625" customWidth="1"/>
    <col min="78" max="78" width="26.44140625" customWidth="1"/>
    <col min="79" max="79" width="25.88671875" customWidth="1"/>
    <col min="80" max="80" width="48.44140625" customWidth="1"/>
    <col min="81" max="81" width="8.88671875" customWidth="1"/>
    <col min="82" max="83" width="8.6640625" customWidth="1"/>
    <col min="84" max="84" width="8.88671875" customWidth="1"/>
    <col min="85" max="117" width="8.6640625" customWidth="1"/>
  </cols>
  <sheetData>
    <row r="1" spans="1:66" ht="28.8">
      <c r="A1" s="680" t="s">
        <v>770</v>
      </c>
      <c r="B1" s="614" t="s">
        <v>771</v>
      </c>
      <c r="C1" s="614" t="s">
        <v>772</v>
      </c>
      <c r="D1" s="728" t="s">
        <v>510</v>
      </c>
      <c r="E1" s="728"/>
      <c r="F1" s="728"/>
      <c r="G1" s="676" t="str">
        <f>+Budget!C1</f>
        <v>Cost Detail Tool FY24-FY25 w/ 4%</v>
      </c>
      <c r="H1" s="677"/>
      <c r="I1" s="677"/>
      <c r="J1" s="677"/>
      <c r="K1" s="624"/>
      <c r="M1" s="667"/>
    </row>
    <row r="2" spans="1:66" ht="18.600000000000001" thickBot="1">
      <c r="A2" s="614" t="s">
        <v>780</v>
      </c>
      <c r="B2" s="644">
        <v>365</v>
      </c>
      <c r="C2" s="644">
        <v>365</v>
      </c>
      <c r="D2" s="4" t="s">
        <v>296</v>
      </c>
      <c r="E2" s="4"/>
      <c r="G2" s="6"/>
      <c r="H2" s="76" t="str">
        <f>IF(AND(P6="x",Q6="x"),"FY18 Dates ("&amp;TEXT(G6,"MM/DD/YY")&amp;" - 6/30/2018)",IF(AND(P6="x",Q6=""),"FY18 Dates ("&amp;TEXT(G6,"MM/DD/YY")&amp;" - "&amp;TEXT(H6,"MM/DD/YY")&amp;")",""))</f>
        <v/>
      </c>
      <c r="I2" s="75"/>
      <c r="J2" s="32" t="str">
        <f>IF(AND(P6="x",Q6="x"),"FY19 Dates (7/1/2018 - "&amp;TEXT(G6,"MM/DD/YY")&amp;")",IF(AND(P6="",Q6="x"),"FY19 Dates ("&amp;TEXT(G6,"MM/DD/YY")&amp;" - "&amp;TEXT(H6,"MM/DD/YY")&amp;")",""))</f>
        <v/>
      </c>
      <c r="K2" s="32"/>
      <c r="L2" s="32"/>
      <c r="M2" s="32"/>
      <c r="P2" s="614"/>
      <c r="AA2" s="590" t="str">
        <f>Budget!EP1</f>
        <v>Supports Services Dynamic Drop Down</v>
      </c>
      <c r="AB2" s="591"/>
      <c r="AC2" s="591"/>
      <c r="AD2" s="591"/>
      <c r="AE2" s="53"/>
      <c r="AF2" s="42"/>
      <c r="AG2" s="535"/>
      <c r="AH2" s="535"/>
      <c r="AI2" s="535"/>
      <c r="AJ2" s="535"/>
      <c r="AK2" s="535"/>
      <c r="AL2" s="535"/>
      <c r="AN2" s="590" t="str">
        <f>Budget!FC1</f>
        <v>Day Services Dynamic Drop Down</v>
      </c>
      <c r="AO2" s="591"/>
      <c r="AP2" s="591"/>
      <c r="AQ2" s="591"/>
      <c r="AR2" s="53"/>
      <c r="AS2" s="42"/>
      <c r="AY2" s="52" t="str">
        <f>Budget!FN1</f>
        <v>Residential Services Dynamic Drop Down</v>
      </c>
      <c r="AZ2" s="53"/>
      <c r="BA2" s="53"/>
      <c r="BB2" s="53"/>
      <c r="BC2" s="53"/>
      <c r="BD2" s="42"/>
      <c r="BH2" s="476"/>
      <c r="BI2" s="476"/>
      <c r="BJ2" s="476"/>
      <c r="BK2" s="476"/>
    </row>
    <row r="3" spans="1:66" ht="19.2" customHeight="1" thickBot="1">
      <c r="A3" s="614" t="s">
        <v>773</v>
      </c>
      <c r="B3" s="649">
        <f>+B2/7</f>
        <v>52.142857142857146</v>
      </c>
      <c r="C3" s="649">
        <f>+C2/7</f>
        <v>52.142857142857146</v>
      </c>
      <c r="D3" s="255" t="s">
        <v>435</v>
      </c>
      <c r="E3" s="255"/>
      <c r="F3" s="205"/>
      <c r="N3" s="205"/>
      <c r="P3" s="614"/>
      <c r="Y3" s="125">
        <f>Budget!E9</f>
        <v>0</v>
      </c>
      <c r="AA3" s="44" t="str">
        <f>Budget!EP2</f>
        <v>Order</v>
      </c>
      <c r="AB3" s="45" t="str">
        <f>Budget!EQ2</f>
        <v>Selection</v>
      </c>
      <c r="AC3" s="45" t="str">
        <f>Budget!ER2</f>
        <v>Lookup</v>
      </c>
      <c r="AD3" s="46" t="str">
        <f>Budget!ES2</f>
        <v>Index</v>
      </c>
      <c r="AE3" s="42"/>
      <c r="AF3" s="42"/>
      <c r="AG3" s="101" t="str">
        <f>Budget!EV2</f>
        <v>CS SD</v>
      </c>
      <c r="AH3" s="62" t="str">
        <f>Budget!EW2</f>
        <v xml:space="preserve">CS Trad </v>
      </c>
      <c r="AI3" s="62" t="str">
        <f>Budget!EX2</f>
        <v>CP SD</v>
      </c>
      <c r="AJ3" s="62" t="str">
        <f>Budget!EY2</f>
        <v>CP Trad</v>
      </c>
      <c r="AK3" s="63" t="str">
        <f>Budget!EZ2</f>
        <v>FS SD</v>
      </c>
      <c r="AL3" s="64" t="str">
        <f>Budget!FA2</f>
        <v>FS Trad</v>
      </c>
      <c r="AN3" s="44" t="str">
        <f>Budget!FC2</f>
        <v>Order</v>
      </c>
      <c r="AO3" s="45" t="str">
        <f>Budget!FD2</f>
        <v>Selection</v>
      </c>
      <c r="AP3" s="45" t="str">
        <f>Budget!FE2</f>
        <v>Lookup</v>
      </c>
      <c r="AQ3" s="46" t="str">
        <f>Budget!FF2</f>
        <v>Index</v>
      </c>
      <c r="AR3" s="42"/>
      <c r="AS3" s="42"/>
      <c r="AT3" s="56" t="str">
        <f>Budget!FI2</f>
        <v>CS SD</v>
      </c>
      <c r="AU3" s="62" t="str">
        <f>Budget!FJ2</f>
        <v>CP SD</v>
      </c>
      <c r="AV3" s="62" t="str">
        <f>Budget!FK2</f>
        <v>CP Trad</v>
      </c>
      <c r="AW3" s="57" t="str">
        <f>Budget!FL2</f>
        <v xml:space="preserve">CS Trad </v>
      </c>
      <c r="AY3" s="44" t="str">
        <f>Budget!FN2</f>
        <v>Order</v>
      </c>
      <c r="AZ3" s="45" t="str">
        <f>Budget!FO2</f>
        <v>Selection</v>
      </c>
      <c r="BA3" s="45" t="str">
        <f>Budget!FP2</f>
        <v>Lookup</v>
      </c>
      <c r="BB3" s="46" t="str">
        <f>Budget!FQ2</f>
        <v>Index</v>
      </c>
      <c r="BC3" s="42"/>
      <c r="BD3" s="42"/>
      <c r="BE3" s="56" t="str">
        <f>Budget!FT2</f>
        <v>CP SD</v>
      </c>
      <c r="BF3" s="57" t="str">
        <f>Budget!FU2</f>
        <v xml:space="preserve">CP Trad </v>
      </c>
      <c r="BH3" s="44" t="s">
        <v>222</v>
      </c>
      <c r="BI3" s="45" t="s">
        <v>219</v>
      </c>
      <c r="BJ3" s="45" t="s">
        <v>220</v>
      </c>
      <c r="BK3" s="46" t="s">
        <v>223</v>
      </c>
      <c r="BL3" s="54"/>
      <c r="BM3" s="42"/>
      <c r="BN3" s="57" t="s">
        <v>380</v>
      </c>
    </row>
    <row r="4" spans="1:66" ht="13.95" customHeight="1" thickBot="1">
      <c r="F4" s="205"/>
      <c r="G4" s="624" t="s">
        <v>134</v>
      </c>
      <c r="J4" s="726" t="str">
        <f>Budget!N5 &amp; " Totals"</f>
        <v>FY 2024 Totals</v>
      </c>
      <c r="K4" s="727"/>
      <c r="L4" s="683" t="str">
        <f>+Budget!N17</f>
        <v>0 Days</v>
      </c>
      <c r="M4" s="726" t="str">
        <f>Budget!O5 &amp; " Totals"</f>
        <v>FY 2025 Totals</v>
      </c>
      <c r="N4" s="727"/>
      <c r="O4" s="683" t="str">
        <f>+Budget!R17</f>
        <v>0 Days</v>
      </c>
      <c r="AA4" s="111" t="str">
        <f>Budget!EP3</f>
        <v/>
      </c>
      <c r="AB4" s="112" t="str">
        <f>Budget!EQ3</f>
        <v/>
      </c>
      <c r="AC4" s="112" t="str">
        <f>Budget!ER3</f>
        <v/>
      </c>
      <c r="AD4" s="113" t="str">
        <f>Budget!ES3</f>
        <v/>
      </c>
      <c r="AE4" s="42"/>
      <c r="AF4" s="42"/>
      <c r="AG4" s="99" t="str">
        <f>Budget!EV3</f>
        <v>Assistive Technology and Services</v>
      </c>
      <c r="AH4" s="99" t="str">
        <f>Budget!EW3</f>
        <v>Assistive Technology and Services</v>
      </c>
      <c r="AI4" s="99" t="str">
        <f>Budget!EX3</f>
        <v>Assistive Technology and Services</v>
      </c>
      <c r="AJ4" s="99" t="str">
        <f>Budget!EY3</f>
        <v>Assistive Technology and Services</v>
      </c>
      <c r="AK4" s="99" t="str">
        <f>Budget!EZ3</f>
        <v>Assistive Technology and Services</v>
      </c>
      <c r="AL4" s="100" t="str">
        <f>Budget!FA3</f>
        <v>Assistive Technology and Services</v>
      </c>
      <c r="AN4" s="47" t="str">
        <f>Budget!FC3</f>
        <v/>
      </c>
      <c r="AO4" s="43" t="str">
        <f>Budget!FD3</f>
        <v/>
      </c>
      <c r="AP4" s="43">
        <f>Budget!FE3</f>
        <v>0</v>
      </c>
      <c r="AQ4" s="48" t="str">
        <f>Budget!FF3</f>
        <v/>
      </c>
      <c r="AR4" s="42"/>
      <c r="AS4" s="42"/>
      <c r="AT4" s="18" t="str">
        <f>Budget!FI3</f>
        <v>Community Development Services</v>
      </c>
      <c r="AU4" s="94" t="str">
        <f>Budget!FJ3</f>
        <v>Community Development Services</v>
      </c>
      <c r="AV4" s="94" t="str">
        <f>Budget!FK3</f>
        <v>Career Exploration - Facility</v>
      </c>
      <c r="AW4" s="58" t="str">
        <f>Budget!FL3</f>
        <v>Career Exploration - Facility</v>
      </c>
      <c r="AY4" s="111" t="str">
        <f>Budget!FN3</f>
        <v/>
      </c>
      <c r="AZ4" s="112" t="str">
        <f>Budget!FO3</f>
        <v/>
      </c>
      <c r="BA4" s="112">
        <f>Budget!FP3</f>
        <v>0</v>
      </c>
      <c r="BB4" s="113" t="str">
        <f>Budget!FQ3</f>
        <v/>
      </c>
      <c r="BC4" s="42"/>
      <c r="BD4" s="42"/>
      <c r="BE4" s="27">
        <f>Budget!FT3</f>
        <v>0</v>
      </c>
      <c r="BF4" s="58" t="str">
        <f>Budget!FU3</f>
        <v>Community Living - Group Home</v>
      </c>
      <c r="BH4" s="111" t="str">
        <f>IF(BI4="","",MAX(BH$3:BH3)+1)</f>
        <v/>
      </c>
      <c r="BI4" s="112" t="str">
        <f>IF(BJ4&lt;&gt;0,BJ4,"")</f>
        <v/>
      </c>
      <c r="BJ4" s="112" t="str">
        <f>IF(AND(Budget!$E$12="Traditional",Budget!$A$12="Community Pathways Waiver"),BN4,"")</f>
        <v/>
      </c>
      <c r="BK4" s="113" t="str">
        <f>IF(ISERROR(INDEX($BI$4:$BI$24,MATCH(ROW()-ROW($BK$3),$BH$4:$BH$24,0))),"",INDEX($BI$4:$BI$24,MATCH(ROW()-ROW($BK$3),$BH$4:$BH$24,0)))</f>
        <v/>
      </c>
      <c r="BL4" s="55"/>
      <c r="BM4" s="42"/>
      <c r="BN4" s="58" t="s">
        <v>314</v>
      </c>
    </row>
    <row r="5" spans="1:66" ht="16.5" customHeight="1" thickBot="1">
      <c r="B5" s="192"/>
      <c r="D5" s="247" t="s">
        <v>235</v>
      </c>
      <c r="E5" s="106" t="s">
        <v>415</v>
      </c>
      <c r="F5" s="106" t="s">
        <v>437</v>
      </c>
      <c r="G5" s="106" t="s">
        <v>284</v>
      </c>
      <c r="H5" s="121" t="s">
        <v>285</v>
      </c>
      <c r="I5" s="120" t="s">
        <v>288</v>
      </c>
      <c r="J5" s="119" t="s">
        <v>155</v>
      </c>
      <c r="K5" s="119" t="s">
        <v>405</v>
      </c>
      <c r="L5" s="119" t="s">
        <v>286</v>
      </c>
      <c r="M5" s="106" t="s">
        <v>155</v>
      </c>
      <c r="N5" s="119" t="s">
        <v>405</v>
      </c>
      <c r="O5" s="120" t="s">
        <v>196</v>
      </c>
      <c r="P5" s="114" t="str">
        <f>+Budget!N5 &amp; " Check"</f>
        <v>FY 2024 Check</v>
      </c>
      <c r="Q5" s="114" t="str">
        <f>+Budget!O5 &amp; " Check"</f>
        <v>FY 2025 Check</v>
      </c>
      <c r="R5" s="114" t="s">
        <v>287</v>
      </c>
      <c r="S5" s="114" t="s">
        <v>183</v>
      </c>
      <c r="T5" s="256" t="s">
        <v>289</v>
      </c>
      <c r="U5" s="114" t="str">
        <f>+Budget!N5 &amp; " Days"</f>
        <v>FY 2024 Days</v>
      </c>
      <c r="V5" s="114" t="str">
        <f>+Budget!O5 &amp; " Days"</f>
        <v>FY 2025 Days</v>
      </c>
      <c r="AA5" s="47" t="str">
        <f>Budget!EP4</f>
        <v/>
      </c>
      <c r="AB5" s="43" t="str">
        <f>Budget!EQ4</f>
        <v/>
      </c>
      <c r="AC5" s="43" t="str">
        <f>Budget!ER4</f>
        <v/>
      </c>
      <c r="AD5" s="48" t="str">
        <f>Budget!ES4</f>
        <v/>
      </c>
      <c r="AE5" s="42"/>
      <c r="AF5" s="42"/>
      <c r="AG5" s="27" t="str">
        <f>Budget!EV4</f>
        <v>BSS - Behavioral Assessment (New)</v>
      </c>
      <c r="AH5" s="27" t="str">
        <f>Budget!EW4</f>
        <v>BSS - Behavioral Assessment (New)</v>
      </c>
      <c r="AI5" s="27" t="str">
        <f>Budget!EX4</f>
        <v>BSS - Behavioral Assessment (New)</v>
      </c>
      <c r="AJ5" s="27" t="str">
        <f>Budget!EY4</f>
        <v>BSS - Behavioral Assessment (New)</v>
      </c>
      <c r="AK5" s="27" t="str">
        <f>Budget!EZ4</f>
        <v>BSS - Behavioral Assessment (New)</v>
      </c>
      <c r="AL5" s="59" t="str">
        <f>Budget!FA4</f>
        <v>BSS - Behavioral Assessment (New)</v>
      </c>
      <c r="AN5" s="47" t="str">
        <f>Budget!FC4</f>
        <v/>
      </c>
      <c r="AO5" s="43" t="str">
        <f>Budget!FD4</f>
        <v/>
      </c>
      <c r="AP5" s="43">
        <f>Budget!FE4</f>
        <v>0</v>
      </c>
      <c r="AQ5" s="48" t="str">
        <f>Budget!FF4</f>
        <v/>
      </c>
      <c r="AR5" s="42"/>
      <c r="AS5" s="42"/>
      <c r="AT5" s="27" t="str">
        <f>Budget!FI4</f>
        <v>Day Habilitation</v>
      </c>
      <c r="AU5" s="93" t="str">
        <f>Budget!FJ4</f>
        <v>Day Habilitation</v>
      </c>
      <c r="AV5" s="93" t="str">
        <f>Budget!FK4</f>
        <v>Career Exploration - Large</v>
      </c>
      <c r="AW5" s="59" t="str">
        <f>Budget!FL4</f>
        <v>Career Exploration - Large</v>
      </c>
      <c r="AY5" s="47" t="str">
        <f>Budget!FN4</f>
        <v/>
      </c>
      <c r="AZ5" s="43" t="str">
        <f>Budget!FO4</f>
        <v/>
      </c>
      <c r="BA5" s="43">
        <f>Budget!FP4</f>
        <v>0</v>
      </c>
      <c r="BB5" s="48" t="str">
        <f>Budget!FQ4</f>
        <v/>
      </c>
      <c r="BC5" s="42"/>
      <c r="BD5" s="42"/>
      <c r="BE5" s="18">
        <f>Budget!FT4</f>
        <v>0</v>
      </c>
      <c r="BF5" s="59" t="str">
        <f>Budget!FU4</f>
        <v>Community Living - Group Home Trial Experience</v>
      </c>
      <c r="BH5" s="47" t="str">
        <f>IF(BI5="","",MAX(BH$3:BH4)+1)</f>
        <v/>
      </c>
      <c r="BI5" s="43" t="str">
        <f t="shared" ref="BI5:BI24" si="0">IF(BJ5&lt;&gt;0,BJ5,"")</f>
        <v/>
      </c>
      <c r="BJ5" s="43" t="str">
        <f>IF(AND(Budget!$E$12="Traditional",Budget!$A$12="Community Pathways Waiver"),BN5,"")</f>
        <v/>
      </c>
      <c r="BK5" s="48" t="str">
        <f t="shared" ref="BK5:BK24" si="1">IF(ISERROR(INDEX($BI$4:$BI$24,MATCH(ROW()-ROW($BK$3),$BH$4:$BH$24,0))),"",INDEX($BI$4:$BI$24,MATCH(ROW()-ROW($BK$3),$BH$4:$BH$24,0)))</f>
        <v/>
      </c>
      <c r="BL5" s="42"/>
      <c r="BM5" s="42"/>
      <c r="BN5" s="59" t="s">
        <v>319</v>
      </c>
    </row>
    <row r="6" spans="1:66" ht="13.95" customHeight="1">
      <c r="D6" s="395" t="s">
        <v>140</v>
      </c>
      <c r="E6" s="390"/>
      <c r="F6" s="290"/>
      <c r="G6" s="131"/>
      <c r="H6" s="132"/>
      <c r="I6" s="420"/>
      <c r="J6" s="299" t="str">
        <f>IF(ISERROR(ROUND(((VLOOKUP(CONCATENATE(VLOOKUP(D6,Budget!$D$19:$K$25,6,FALSE),'Add-On Tool'!$G$4),Budget!$DZ$5:$EE$52,6,FALSE))*($I6*(($B$3))/F6)),2)),"",ROUND(((VLOOKUP(CONCATENATE(VLOOKUP(D6,Budget!$D$19:$K$25,6,FALSE),'Add-On Tool'!$G$4),Budget!$DZ$5:$EE$52,6,FALSE))*($I6*(($B$3))/F6)),2))</f>
        <v/>
      </c>
      <c r="K6" s="646"/>
      <c r="L6" s="197">
        <f>IF(ISERROR((J6*K6)),0,(J6*K6))</f>
        <v>0</v>
      </c>
      <c r="M6" s="299" t="str">
        <f>IF(ISERROR(ROUND(((VLOOKUP(CONCATENATE(VLOOKUP(D6,Budget!$D$19:$K$25,6,FALSE),'Add-On Tool'!$G$4),Budget!$DZ$5:$EF$52,7,FALSE))*($I6*($C$3)/$F$6)),2)),"",(ROUND(((VLOOKUP(CONCATENATE(VLOOKUP(D6,Budget!$D$19:$K$25,6,FALSE),'Add-On Tool'!$G$4),Budget!$DZ$5:$EF$52,7,FALSE))*($I6*($C$3)/$F$6)),2)))</f>
        <v/>
      </c>
      <c r="N6" s="646"/>
      <c r="O6" s="91">
        <f>IF(ISERROR((M6*N6)),0,(M6*N6))</f>
        <v>0</v>
      </c>
      <c r="P6" s="179" t="str">
        <f>IF(G6="","",IF(OR(G6&lt;Budget!$E$9,G6&gt;=Budget!$A$9),"x",""))</f>
        <v/>
      </c>
      <c r="Q6" s="179" t="str">
        <f>IF(H6="","",IF(OR(H6&lt;Budget!$E$9,H6&gt;=Budget!$A$9),"x",""))</f>
        <v/>
      </c>
      <c r="R6" s="252">
        <f>K6+N6</f>
        <v>0</v>
      </c>
      <c r="S6" s="257">
        <f>IF(OR(G6="",H6=""),0,H6-G6+1)</f>
        <v>0</v>
      </c>
      <c r="T6" s="123" t="str">
        <f>IF(K6+N6&gt;S6,"x","")</f>
        <v/>
      </c>
      <c r="U6" s="69">
        <f>IF(ISERROR(VLOOKUP(D6,Budget!$D$19:$R$25,8,FALSE)),0,(VLOOKUP(D6,Budget!$D$19:$R$25,9,FALSE)))</f>
        <v>250</v>
      </c>
      <c r="V6" s="69">
        <f>IF(ISERROR(VLOOKUP(D6,Budget!$D$19:$R$25,12,FALSE)),0,(VLOOKUP(D6,Budget!$D$19:$R$25,13,FALSE)))</f>
        <v>62</v>
      </c>
      <c r="X6" s="670"/>
      <c r="AA6" s="47" t="str">
        <f>Budget!EP5</f>
        <v/>
      </c>
      <c r="AB6" s="43" t="str">
        <f>Budget!EQ5</f>
        <v/>
      </c>
      <c r="AC6" s="43" t="str">
        <f>Budget!ER5</f>
        <v/>
      </c>
      <c r="AD6" s="48" t="str">
        <f>Budget!ES5</f>
        <v/>
      </c>
      <c r="AE6" s="42"/>
      <c r="AF6" s="42"/>
      <c r="AG6" s="99" t="str">
        <f>Budget!EV5</f>
        <v xml:space="preserve">BSS - Behavioral Consultation </v>
      </c>
      <c r="AH6" s="99" t="str">
        <f>Budget!EW5</f>
        <v xml:space="preserve">BSS - Behavioral Consultation </v>
      </c>
      <c r="AI6" s="99" t="str">
        <f>Budget!EX5</f>
        <v xml:space="preserve">BSS - Behavioral Consultation </v>
      </c>
      <c r="AJ6" s="99" t="str">
        <f>Budget!EY5</f>
        <v xml:space="preserve">BSS - Behavioral Consultation </v>
      </c>
      <c r="AK6" s="99" t="str">
        <f>Budget!EZ5</f>
        <v xml:space="preserve">BSS - Behavioral Consultation </v>
      </c>
      <c r="AL6" s="100" t="str">
        <f>Budget!FA5</f>
        <v xml:space="preserve">BSS - Behavioral Consultation </v>
      </c>
      <c r="AN6" s="47" t="str">
        <f>Budget!FC5</f>
        <v/>
      </c>
      <c r="AO6" s="43" t="str">
        <f>Budget!FD5</f>
        <v/>
      </c>
      <c r="AP6" s="43">
        <f>Budget!FE5</f>
        <v>0</v>
      </c>
      <c r="AQ6" s="48" t="str">
        <f>Budget!FF5</f>
        <v/>
      </c>
      <c r="AR6" s="42"/>
      <c r="AS6" s="42"/>
      <c r="AT6" s="18" t="str">
        <f>Budget!FI5</f>
        <v>Employment Discovery and Customization</v>
      </c>
      <c r="AU6" s="94" t="str">
        <f>Budget!FJ5</f>
        <v>Employment Discovery and Customization</v>
      </c>
      <c r="AV6" s="94" t="str">
        <f>Budget!FK5</f>
        <v>Career Exploration - Small</v>
      </c>
      <c r="AW6" s="58" t="str">
        <f>Budget!FL5</f>
        <v>Career Exploration - Small</v>
      </c>
      <c r="AY6" s="47" t="str">
        <f>Budget!FN5</f>
        <v/>
      </c>
      <c r="AZ6" s="43" t="str">
        <f>Budget!FO5</f>
        <v/>
      </c>
      <c r="BA6" s="43">
        <f>Budget!FP5</f>
        <v>0</v>
      </c>
      <c r="BB6" s="48" t="str">
        <f>Budget!FQ5</f>
        <v/>
      </c>
      <c r="BC6" s="42"/>
      <c r="BD6" s="42"/>
      <c r="BE6" s="18">
        <f>Budget!FT5</f>
        <v>0</v>
      </c>
      <c r="BF6" s="58" t="str">
        <f>Budget!FU5</f>
        <v>Shared Living</v>
      </c>
      <c r="BH6" s="540" t="str">
        <f>IF(BI6="","",MAX(BH$3:BH5)+1)</f>
        <v/>
      </c>
      <c r="BI6" s="43" t="str">
        <f t="shared" si="0"/>
        <v/>
      </c>
      <c r="BJ6" s="43" t="str">
        <f>IF(AND(Budget!$E$12="Traditional",Budget!$A$12="Community Pathways Waiver"),BN6,"")</f>
        <v/>
      </c>
      <c r="BK6" s="48" t="str">
        <f t="shared" si="1"/>
        <v/>
      </c>
      <c r="BL6" s="42"/>
      <c r="BM6" s="42"/>
      <c r="BN6" s="58" t="s">
        <v>364</v>
      </c>
    </row>
    <row r="7" spans="1:66" ht="13.95" customHeight="1" thickBot="1">
      <c r="B7" s="87"/>
      <c r="C7" s="70"/>
      <c r="D7" s="396" t="s">
        <v>139</v>
      </c>
      <c r="E7" s="391"/>
      <c r="F7" s="291"/>
      <c r="G7" s="133"/>
      <c r="H7" s="134"/>
      <c r="I7" s="421"/>
      <c r="J7" s="300" t="str">
        <f>IF(ISERROR(ROUND(((VLOOKUP(CONCATENATE(VLOOKUP(D6,Budget!$D$19:$K$25,6,FALSE),'Add-On Tool'!$G$4),Budget!$DZ$5:$EE$52,6,FALSE))*($I6*(($B$3))/F7)),2)),"",ROUND(((VLOOKUP(CONCATENATE(VLOOKUP(D6,Budget!$D$19:$K$25,6,FALSE),'Add-On Tool'!$G$4),Budget!$DZ$5:$EE$52,6,FALSE))*($I6*(($B$3))/F7)),2))</f>
        <v/>
      </c>
      <c r="K7" s="647"/>
      <c r="L7" s="6">
        <f t="shared" ref="L7:L14" si="2">IF(ISERROR((J7*K7)),0,(J7*K7))</f>
        <v>0</v>
      </c>
      <c r="M7" s="300" t="str">
        <f>IF(ISERROR(ROUND(((VLOOKUP(CONCATENATE(VLOOKUP(D7,Budget!$D$19:$K$25,6,FALSE),'Add-On Tool'!$G$4),Budget!$DZ$5:$EF$52,7,FALSE))*($I7*($C$3)/$F$6)),2)),"",(ROUND(((VLOOKUP(CONCATENATE(VLOOKUP(D7,Budget!$D$19:$K$25,6,FALSE),'Add-On Tool'!$G$4),Budget!$DZ$5:$EF$52,7,FALSE))*($I7*($C$3)/$F$6)),2)))</f>
        <v/>
      </c>
      <c r="N7" s="647"/>
      <c r="O7" s="109">
        <f t="shared" ref="O7:O14" si="3">IF(ISERROR((M7*N7)),0,(M7*N7))</f>
        <v>0</v>
      </c>
      <c r="P7" s="180" t="str">
        <f>IF(G7="","",IF(OR(G7&lt;Budget!$E$9,G7&gt;=Budget!$A$9),"x",""))</f>
        <v/>
      </c>
      <c r="Q7" s="180" t="str">
        <f>IF(H7="","",IF(OR(H7&lt;Budget!$E$9,H7&gt;=Budget!$A$9),"x",""))</f>
        <v/>
      </c>
      <c r="R7" s="253">
        <f t="shared" ref="R7:R14" si="4">K7+N7</f>
        <v>0</v>
      </c>
      <c r="S7" s="258">
        <f t="shared" ref="S7:S14" si="5">IF(OR(G7="",H7=""),0,H7-G7+1)</f>
        <v>0</v>
      </c>
      <c r="T7" t="str">
        <f t="shared" ref="T7:T14" si="6">IF(K7+N7&gt;S7,"x","")</f>
        <v/>
      </c>
      <c r="U7" s="23">
        <f>IF(ISERROR(VLOOKUP(D7,Budget!$D$19:$R$25,8,FALSE)),0,(VLOOKUP(D7,Budget!$D$19:$R$25,9,FALSE)))</f>
        <v>250</v>
      </c>
      <c r="V7" s="23">
        <f>IF(ISERROR(VLOOKUP(D7,Budget!$D$19:$R$25,12,FALSE)),0,(VLOOKUP(D7,Budget!$D$19:$R$25,13,FALSE)))</f>
        <v>62</v>
      </c>
      <c r="X7" s="671"/>
      <c r="AA7" s="47" t="str">
        <f>Budget!EP6</f>
        <v/>
      </c>
      <c r="AB7" s="43" t="str">
        <f>Budget!EQ6</f>
        <v/>
      </c>
      <c r="AC7" s="43" t="str">
        <f>Budget!ER6</f>
        <v/>
      </c>
      <c r="AD7" s="48" t="str">
        <f>Budget!ES6</f>
        <v/>
      </c>
      <c r="AE7" s="42"/>
      <c r="AF7" s="42"/>
      <c r="AG7" s="27" t="str">
        <f>Budget!EV6</f>
        <v>BSS - Behavioral Plan (New)</v>
      </c>
      <c r="AH7" s="27" t="str">
        <f>Budget!EW6</f>
        <v>BSS - Behavioral Plan (New)</v>
      </c>
      <c r="AI7" s="27" t="str">
        <f>Budget!EX6</f>
        <v>BSS - Behavioral Plan (New)</v>
      </c>
      <c r="AJ7" s="27" t="str">
        <f>Budget!EY6</f>
        <v>BSS - Behavioral Plan (New)</v>
      </c>
      <c r="AK7" s="27" t="str">
        <f>Budget!EZ6</f>
        <v>BSS - Behavioral Plan (New)</v>
      </c>
      <c r="AL7" s="59" t="str">
        <f>Budget!FA6</f>
        <v>BSS - Behavioral Plan (New)</v>
      </c>
      <c r="AN7" s="47" t="str">
        <f>Budget!FC6</f>
        <v/>
      </c>
      <c r="AO7" s="43" t="str">
        <f>Budget!FD6</f>
        <v/>
      </c>
      <c r="AP7" s="43">
        <f>Budget!FE6</f>
        <v>0</v>
      </c>
      <c r="AQ7" s="48" t="str">
        <f>Budget!FF6</f>
        <v/>
      </c>
      <c r="AR7" s="42"/>
      <c r="AS7" s="42"/>
      <c r="AT7" s="27" t="str">
        <f>Budget!FI6</f>
        <v>Supported Employment</v>
      </c>
      <c r="AU7" s="93" t="str">
        <f>Budget!FJ6</f>
        <v>Supported Employment</v>
      </c>
      <c r="AV7" s="93" t="str">
        <f>Budget!FK6</f>
        <v>Community Development Services</v>
      </c>
      <c r="AW7" s="59" t="str">
        <f>Budget!FL6</f>
        <v>Community Development Services</v>
      </c>
      <c r="AY7" s="47" t="str">
        <f>Budget!FN6</f>
        <v/>
      </c>
      <c r="AZ7" s="43" t="str">
        <f>Budget!FO6</f>
        <v/>
      </c>
      <c r="BA7" s="43">
        <f>Budget!FP6</f>
        <v>0</v>
      </c>
      <c r="BB7" s="48" t="str">
        <f>Budget!FQ6</f>
        <v/>
      </c>
      <c r="BC7" s="42"/>
      <c r="BD7" s="42"/>
      <c r="BE7" s="27">
        <f>Budget!FT6</f>
        <v>0</v>
      </c>
      <c r="BF7" s="59" t="str">
        <f>Budget!FU6</f>
        <v>Supported Living</v>
      </c>
      <c r="BH7" s="47" t="str">
        <f>IF(BI7="","",MAX(BH$3:BH6)+1)</f>
        <v/>
      </c>
      <c r="BI7" s="43" t="str">
        <f t="shared" si="0"/>
        <v/>
      </c>
      <c r="BJ7" s="43" t="str">
        <f>IF(AND(Budget!$E$12="Traditional",Budget!$A$12="Community Pathways Waiver"),BN7,"")</f>
        <v/>
      </c>
      <c r="BK7" s="48" t="str">
        <f t="shared" si="1"/>
        <v/>
      </c>
      <c r="BL7" s="42"/>
      <c r="BM7" s="42"/>
      <c r="BN7" s="59">
        <v>0</v>
      </c>
    </row>
    <row r="8" spans="1:66" ht="13.5" customHeight="1">
      <c r="B8" s="209"/>
      <c r="D8" s="396" t="s">
        <v>138</v>
      </c>
      <c r="E8" s="391"/>
      <c r="F8" s="291"/>
      <c r="G8" s="133"/>
      <c r="H8" s="134"/>
      <c r="I8" s="421"/>
      <c r="J8" s="300" t="str">
        <f>IF(ISERROR(ROUND(((VLOOKUP(CONCATENATE(VLOOKUP(D8,Budget!$D$19:$K$25,6,FALSE),'Add-On Tool'!$G$4),Budget!$DZ$5:$EE$52,6,FALSE))*($I8*(($B$3))/F8)),2)),"",ROUND(((VLOOKUP(CONCATENATE(VLOOKUP(D8,Budget!$D$19:$K$25,6,FALSE),'Add-On Tool'!$G$4),Budget!$DZ$5:$EE$52,6,FALSE))*($I8*(($B$3))/F8)),2))</f>
        <v/>
      </c>
      <c r="K8" s="647"/>
      <c r="L8" s="6">
        <f t="shared" si="2"/>
        <v>0</v>
      </c>
      <c r="M8" s="300" t="str">
        <f>IF(ISERROR(ROUND(((VLOOKUP(CONCATENATE(VLOOKUP(D8,Budget!$D$19:$K$25,6,FALSE),'Add-On Tool'!$G$4),Budget!$DZ$5:$EF$52,7,FALSE))*($I8*($C$3)/$F$6)),2)),"",(ROUND(((VLOOKUP(CONCATENATE(VLOOKUP(D8,Budget!$D$19:$K$25,6,FALSE),'Add-On Tool'!$G$4),Budget!$DZ$5:$EF$52,7,FALSE))*($I8*($C$3)/$F$6)),2)))</f>
        <v/>
      </c>
      <c r="N8" s="647"/>
      <c r="O8" s="109">
        <f t="shared" si="3"/>
        <v>0</v>
      </c>
      <c r="P8" s="180" t="str">
        <f>IF(G8="","",IF(OR(G8&lt;Budget!$E$9,G8&gt;=Budget!$A$9),"x",""))</f>
        <v/>
      </c>
      <c r="Q8" s="180" t="str">
        <f>IF(H8="","",IF(OR(H8&lt;Budget!$E$9,H8&gt;=Budget!$A$9),"x",""))</f>
        <v/>
      </c>
      <c r="R8" s="253">
        <f t="shared" si="4"/>
        <v>0</v>
      </c>
      <c r="S8" s="258">
        <f t="shared" si="5"/>
        <v>0</v>
      </c>
      <c r="T8" t="str">
        <f t="shared" si="6"/>
        <v/>
      </c>
      <c r="U8" s="23">
        <f>IF(ISERROR(VLOOKUP(D8,Budget!$D$19:$R$25,8,FALSE)),0,(VLOOKUP(D8,Budget!$D$19:$R$25,9,FALSE)))</f>
        <v>250</v>
      </c>
      <c r="V8" s="23">
        <f>IF(ISERROR(VLOOKUP(D8,Budget!$D$19:$R$25,12,FALSE)),0,(VLOOKUP(D8,Budget!$D$19:$R$25,13,FALSE)))</f>
        <v>62</v>
      </c>
      <c r="AA8" s="47" t="str">
        <f>Budget!EP7</f>
        <v/>
      </c>
      <c r="AB8" s="43" t="str">
        <f>Budget!EQ7</f>
        <v/>
      </c>
      <c r="AC8" s="43" t="str">
        <f>Budget!ER7</f>
        <v/>
      </c>
      <c r="AD8" s="48" t="str">
        <f>Budget!ES7</f>
        <v/>
      </c>
      <c r="AE8" s="42"/>
      <c r="AF8" s="42"/>
      <c r="AG8" s="99" t="str">
        <f>Budget!EV7</f>
        <v>BSS - Brief Support Implementation (New)</v>
      </c>
      <c r="AH8" s="99" t="str">
        <f>Budget!EW7</f>
        <v>BSS - Brief Support Implementation (New)</v>
      </c>
      <c r="AI8" s="99" t="str">
        <f>Budget!EX7</f>
        <v>BSS - Brief Support Implementation (New)</v>
      </c>
      <c r="AJ8" s="99" t="str">
        <f>Budget!EY7</f>
        <v>BSS - Brief Support Implementation (New)</v>
      </c>
      <c r="AK8" s="99" t="str">
        <f>Budget!EZ7</f>
        <v>BSS - Brief Support Implementation (New)</v>
      </c>
      <c r="AL8" s="100" t="str">
        <f>Budget!FA7</f>
        <v>BSS - Brief Support Implementation (New)</v>
      </c>
      <c r="AN8" s="47" t="str">
        <f>Budget!FC7</f>
        <v/>
      </c>
      <c r="AO8" s="43" t="str">
        <f>Budget!FD7</f>
        <v/>
      </c>
      <c r="AP8" s="43">
        <f>Budget!FE7</f>
        <v>0</v>
      </c>
      <c r="AQ8" s="48" t="str">
        <f>Budget!FF7</f>
        <v/>
      </c>
      <c r="AR8" s="42"/>
      <c r="AS8" s="42"/>
      <c r="AT8" s="18">
        <f>Budget!FI7</f>
        <v>0</v>
      </c>
      <c r="AU8" s="94">
        <f>Budget!FJ7</f>
        <v>0</v>
      </c>
      <c r="AV8" s="94" t="str">
        <f>Budget!FK7</f>
        <v>Day Habilitation</v>
      </c>
      <c r="AW8" s="58" t="str">
        <f>Budget!FL7</f>
        <v>Day Habilitation</v>
      </c>
      <c r="AY8" s="47" t="str">
        <f>Budget!FN7</f>
        <v/>
      </c>
      <c r="AZ8" s="43" t="str">
        <f>Budget!FO7</f>
        <v/>
      </c>
      <c r="BA8" s="43">
        <f>Budget!FP7</f>
        <v>0</v>
      </c>
      <c r="BB8" s="48" t="str">
        <f>Budget!FQ7</f>
        <v/>
      </c>
      <c r="BC8" s="42"/>
      <c r="BD8" s="42"/>
      <c r="BE8" s="18">
        <f>Budget!FT7</f>
        <v>0</v>
      </c>
      <c r="BF8" s="58">
        <f>Budget!FU7</f>
        <v>0</v>
      </c>
      <c r="BH8" s="47" t="str">
        <f>IF(BI8="","",MAX(BH$3:BH7)+1)</f>
        <v/>
      </c>
      <c r="BI8" s="43" t="str">
        <f t="shared" si="0"/>
        <v/>
      </c>
      <c r="BJ8" s="43" t="str">
        <f>IF(AND(Budget!$E$12="Traditional",Budget!$A$12="Community Pathways Waiver"),BN8,"")</f>
        <v/>
      </c>
      <c r="BK8" s="48" t="str">
        <f t="shared" si="1"/>
        <v/>
      </c>
      <c r="BL8" s="42"/>
      <c r="BM8" s="42"/>
      <c r="BN8" s="58">
        <v>0</v>
      </c>
    </row>
    <row r="9" spans="1:66" ht="13.95" customHeight="1" thickBot="1">
      <c r="B9" s="209"/>
      <c r="D9" s="396" t="s">
        <v>136</v>
      </c>
      <c r="E9" s="391"/>
      <c r="F9" s="291"/>
      <c r="G9" s="133"/>
      <c r="H9" s="134"/>
      <c r="I9" s="421"/>
      <c r="J9" s="300" t="str">
        <f>IF(ISERROR(ROUND(((VLOOKUP(CONCATENATE(VLOOKUP(D9,Budget!$D$19:$K$25,6,FALSE),'Add-On Tool'!$G$4),Budget!$DZ$5:$EE$52,6,FALSE))*($I9*(($B$3))/F9)),2)),"",ROUND(((VLOOKUP(CONCATENATE(VLOOKUP(D9,Budget!$D$19:$K$25,6,FALSE),'Add-On Tool'!$G$4),Budget!$DZ$5:$EE$52,6,FALSE))*($I9*(($B$3))/F9)),2))</f>
        <v/>
      </c>
      <c r="K9" s="647"/>
      <c r="L9" s="6">
        <f t="shared" si="2"/>
        <v>0</v>
      </c>
      <c r="M9" s="300" t="str">
        <f>IF(ISERROR(ROUND(((VLOOKUP(CONCATENATE(VLOOKUP(D9,Budget!$D$19:$K$25,6,FALSE),'Add-On Tool'!$G$4),Budget!$DZ$5:$EF$52,7,FALSE))*($I9*($C$3)/$F$6)),2)),"",(ROUND(((VLOOKUP(CONCATENATE(VLOOKUP(D9,Budget!$D$19:$K$25,6,FALSE),'Add-On Tool'!$G$4),Budget!$DZ$5:$EF$52,7,FALSE))*($I9*($C$3)/$F$6)),2)))</f>
        <v/>
      </c>
      <c r="N9" s="647"/>
      <c r="O9" s="109">
        <f t="shared" si="3"/>
        <v>0</v>
      </c>
      <c r="P9" s="180" t="str">
        <f>IF(G9="","",IF(OR(G9&lt;Budget!$E$9,G9&gt;=Budget!$A$9),"x",""))</f>
        <v/>
      </c>
      <c r="Q9" s="180" t="str">
        <f>IF(H9="","",IF(OR(H9&lt;Budget!$E$9,H9&gt;=Budget!$A$9),"x",""))</f>
        <v/>
      </c>
      <c r="R9" s="253">
        <f t="shared" si="4"/>
        <v>0</v>
      </c>
      <c r="S9" s="258">
        <f t="shared" si="5"/>
        <v>0</v>
      </c>
      <c r="T9" t="str">
        <f t="shared" si="6"/>
        <v/>
      </c>
      <c r="U9" s="23">
        <f>IF(ISERROR(VLOOKUP(D9,Budget!$D$19:$R$25,8,FALSE)),0,(VLOOKUP(D9,Budget!$D$19:$R$25,9,FALSE)))</f>
        <v>250</v>
      </c>
      <c r="V9" s="23">
        <f>IF(ISERROR(VLOOKUP(D9,Budget!$D$19:$R$25,12,FALSE)),0,(VLOOKUP(D9,Budget!$D$19:$R$25,13,FALSE)))</f>
        <v>62</v>
      </c>
      <c r="AA9" s="47" t="str">
        <f>Budget!EP8</f>
        <v/>
      </c>
      <c r="AB9" s="43" t="str">
        <f>Budget!EQ8</f>
        <v/>
      </c>
      <c r="AC9" s="43" t="str">
        <f>Budget!ER8</f>
        <v/>
      </c>
      <c r="AD9" s="48" t="str">
        <f>Budget!ES8</f>
        <v/>
      </c>
      <c r="AE9" s="42"/>
      <c r="AF9" s="42"/>
      <c r="AG9" s="27" t="str">
        <f>Budget!EV8</f>
        <v>Environmental Assessment</v>
      </c>
      <c r="AH9" s="27" t="str">
        <f>Budget!EW8</f>
        <v>Environmental Assessment</v>
      </c>
      <c r="AI9" s="27" t="str">
        <f>Budget!EX8</f>
        <v>Environmental Assessment</v>
      </c>
      <c r="AJ9" s="27" t="str">
        <f>Budget!EY8</f>
        <v>Environmental Assessment</v>
      </c>
      <c r="AK9" s="27" t="str">
        <f>Budget!EZ8</f>
        <v>Environmental Assessment</v>
      </c>
      <c r="AL9" s="59" t="str">
        <f>Budget!FA8</f>
        <v>Environmental Assessment</v>
      </c>
      <c r="AN9" s="47" t="str">
        <f>Budget!FC8</f>
        <v/>
      </c>
      <c r="AO9" s="43" t="str">
        <f>Budget!FD8</f>
        <v/>
      </c>
      <c r="AP9" s="43">
        <f>Budget!FE8</f>
        <v>0</v>
      </c>
      <c r="AQ9" s="48" t="str">
        <f>Budget!FF8</f>
        <v/>
      </c>
      <c r="AR9" s="42"/>
      <c r="AS9" s="42"/>
      <c r="AT9" s="27">
        <f>Budget!FI8</f>
        <v>0</v>
      </c>
      <c r="AU9" s="93">
        <f>Budget!FJ8</f>
        <v>0</v>
      </c>
      <c r="AV9" s="93" t="str">
        <f>Budget!FK8</f>
        <v>Employment Discovery and Customization</v>
      </c>
      <c r="AW9" s="59" t="str">
        <f>Budget!FL8</f>
        <v>Employment Discovery and Customization</v>
      </c>
      <c r="AY9" s="47" t="str">
        <f>Budget!FN8</f>
        <v/>
      </c>
      <c r="AZ9" s="43" t="str">
        <f>Budget!FO8</f>
        <v/>
      </c>
      <c r="BA9" s="43">
        <f>Budget!FP8</f>
        <v>0</v>
      </c>
      <c r="BB9" s="48" t="str">
        <f>Budget!FQ8</f>
        <v/>
      </c>
      <c r="BC9" s="42"/>
      <c r="BD9" s="42"/>
      <c r="BE9" s="27">
        <f>Budget!FT8</f>
        <v>0</v>
      </c>
      <c r="BF9" s="59">
        <f>Budget!FU8</f>
        <v>0</v>
      </c>
      <c r="BH9" s="47" t="str">
        <f>IF(BI9="","",MAX(BH$3:BH8)+1)</f>
        <v/>
      </c>
      <c r="BI9" s="43" t="str">
        <f t="shared" si="0"/>
        <v/>
      </c>
      <c r="BJ9" s="43" t="str">
        <f>IF(AND(Budget!$E$12="Traditional",Budget!$A$12="Community Pathways Waiver"),BN9,"")</f>
        <v/>
      </c>
      <c r="BK9" s="48" t="str">
        <f t="shared" si="1"/>
        <v/>
      </c>
      <c r="BL9" s="42"/>
      <c r="BM9" s="42"/>
      <c r="BN9" s="59">
        <v>0</v>
      </c>
    </row>
    <row r="10" spans="1:66" ht="13.95" customHeight="1">
      <c r="B10" s="209"/>
      <c r="D10" s="396" t="s">
        <v>137</v>
      </c>
      <c r="E10" s="391"/>
      <c r="F10" s="291"/>
      <c r="G10" s="133"/>
      <c r="H10" s="134"/>
      <c r="I10" s="421"/>
      <c r="J10" s="300" t="str">
        <f>IF(ISERROR(ROUND(((VLOOKUP(CONCATENATE(VLOOKUP(D10,Budget!$D$19:$K$25,6,FALSE),'Add-On Tool'!$G$4),Budget!$DZ$5:$EE$52,6,FALSE))*($I10*(($B$3))/F10)),2)),"",ROUND(((VLOOKUP(CONCATENATE(VLOOKUP(D10,Budget!$D$19:$K$25,6,FALSE),'Add-On Tool'!$G$4),Budget!$DZ$5:$EE$52,6,FALSE))*($I10*(($B$3))/F10)),2))</f>
        <v/>
      </c>
      <c r="K10" s="647"/>
      <c r="L10" s="6">
        <f>IF(ISERROR((J10*K10)),0,(J10*K10))</f>
        <v>0</v>
      </c>
      <c r="M10" s="300" t="str">
        <f>IF(ISERROR(ROUND(((VLOOKUP(CONCATENATE(VLOOKUP(D10,Budget!$D$19:$K$25,6,FALSE),'Add-On Tool'!$G$4),Budget!$DZ$5:$EF$52,7,FALSE))*($I10*($C$3)/$F$6)),2)),"",(ROUND(((VLOOKUP(CONCATENATE(VLOOKUP(D10,Budget!$D$19:$K$25,6,FALSE),'Add-On Tool'!$G$4),Budget!$DZ$5:$EF$52,7,FALSE))*($I10*($C$3)/$F$6)),2)))</f>
        <v/>
      </c>
      <c r="N10" s="647"/>
      <c r="O10" s="109">
        <f t="shared" si="3"/>
        <v>0</v>
      </c>
      <c r="P10" s="180" t="str">
        <f>IF(G10="","",IF(OR(G10&lt;Budget!$E$9,G10&gt;=Budget!$A$9),"x",""))</f>
        <v/>
      </c>
      <c r="Q10" s="180" t="str">
        <f>IF(H10="","",IF(OR(H10&lt;Budget!$E$9,H10&gt;=Budget!$A$9),"x",""))</f>
        <v/>
      </c>
      <c r="R10" s="253">
        <f t="shared" si="4"/>
        <v>0</v>
      </c>
      <c r="S10" s="258">
        <f t="shared" si="5"/>
        <v>0</v>
      </c>
      <c r="T10" t="str">
        <f t="shared" si="6"/>
        <v/>
      </c>
      <c r="U10" s="23">
        <f>IF(ISERROR(VLOOKUP(D10,Budget!$D$19:$R$25,8,FALSE)),0,(VLOOKUP(D10,Budget!$D$19:$R$25,9,FALSE)))</f>
        <v>260</v>
      </c>
      <c r="V10" s="23">
        <f>IF(ISERROR(VLOOKUP(D10,Budget!$D$19:$R$25,12,FALSE)),0,(VLOOKUP(D10,Budget!$D$19:$R$25,13,FALSE)))</f>
        <v>62</v>
      </c>
      <c r="AA10" s="47" t="str">
        <f>Budget!EP9</f>
        <v/>
      </c>
      <c r="AB10" s="43" t="str">
        <f>Budget!EQ9</f>
        <v/>
      </c>
      <c r="AC10" s="43" t="str">
        <f>Budget!ER9</f>
        <v/>
      </c>
      <c r="AD10" s="48" t="str">
        <f>Budget!ES9</f>
        <v/>
      </c>
      <c r="AE10" s="42"/>
      <c r="AF10" s="42"/>
      <c r="AG10" s="99" t="str">
        <f>Budget!EV9</f>
        <v>Environmental Modification</v>
      </c>
      <c r="AH10" s="99" t="str">
        <f>Budget!EW9</f>
        <v>Environmental Modification</v>
      </c>
      <c r="AI10" s="99" t="str">
        <f>Budget!EX9</f>
        <v>Environmental Modification</v>
      </c>
      <c r="AJ10" s="99" t="str">
        <f>Budget!EY9</f>
        <v>Environmental Modification</v>
      </c>
      <c r="AK10" s="99" t="str">
        <f>Budget!EZ9</f>
        <v>Environmental Modification</v>
      </c>
      <c r="AL10" s="100" t="str">
        <f>Budget!FA9</f>
        <v>Environmental Modification</v>
      </c>
      <c r="AN10" s="47" t="str">
        <f>Budget!FC9</f>
        <v/>
      </c>
      <c r="AO10" s="43" t="str">
        <f>Budget!FD9</f>
        <v/>
      </c>
      <c r="AP10" s="43">
        <f>Budget!FE9</f>
        <v>0</v>
      </c>
      <c r="AQ10" s="48" t="str">
        <f>Budget!FF9</f>
        <v/>
      </c>
      <c r="AR10" s="42"/>
      <c r="AS10" s="42"/>
      <c r="AT10" s="18">
        <f>Budget!FI9</f>
        <v>0</v>
      </c>
      <c r="AU10" s="94">
        <f>Budget!FJ9</f>
        <v>0</v>
      </c>
      <c r="AV10" s="94" t="str">
        <f>Budget!FK9</f>
        <v>Supported Employment</v>
      </c>
      <c r="AW10" s="58" t="str">
        <f>Budget!FL9</f>
        <v>Supported Employment</v>
      </c>
      <c r="AY10" s="47" t="str">
        <f>Budget!FN9</f>
        <v/>
      </c>
      <c r="AZ10" s="43" t="str">
        <f>Budget!FO9</f>
        <v/>
      </c>
      <c r="BA10" s="43">
        <f>Budget!FP9</f>
        <v>0</v>
      </c>
      <c r="BB10" s="48" t="str">
        <f>Budget!FQ9</f>
        <v/>
      </c>
      <c r="BC10" s="42"/>
      <c r="BD10" s="42"/>
      <c r="BE10" s="18">
        <f>Budget!FT9</f>
        <v>0</v>
      </c>
      <c r="BF10" s="58">
        <f>Budget!FU9</f>
        <v>0</v>
      </c>
      <c r="BH10" s="47" t="str">
        <f>IF(BI10="","",MAX(BH$3:BH9)+1)</f>
        <v/>
      </c>
      <c r="BI10" s="43" t="str">
        <f t="shared" si="0"/>
        <v/>
      </c>
      <c r="BJ10" s="43" t="str">
        <f>IF(AND(Budget!$E$12="Traditional",Budget!$A$12="Community Pathways Waiver"),BN10,"")</f>
        <v/>
      </c>
      <c r="BK10" s="48" t="str">
        <f t="shared" si="1"/>
        <v/>
      </c>
      <c r="BL10" s="42"/>
      <c r="BM10" s="42"/>
      <c r="BN10" s="58">
        <v>0</v>
      </c>
    </row>
    <row r="11" spans="1:66" ht="13.95" customHeight="1" thickBot="1">
      <c r="B11" s="209"/>
      <c r="D11" s="396" t="s">
        <v>153</v>
      </c>
      <c r="E11" s="391"/>
      <c r="F11" s="291"/>
      <c r="G11" s="133"/>
      <c r="H11" s="134"/>
      <c r="I11" s="421"/>
      <c r="J11" s="300" t="str">
        <f>IF(ISERROR(ROUND(((VLOOKUP(CONCATENATE(VLOOKUP(D11,Budget!$D$19:$K$25,6,FALSE),'Add-On Tool'!$G$4),Budget!$DZ$5:$EE$52,6,FALSE))*($I11*(($B$3))/F11)),2)),"",ROUND(((VLOOKUP(CONCATENATE(VLOOKUP(D11,Budget!$D$19:$K$25,6,FALSE),'Add-On Tool'!$G$4),Budget!$DZ$5:$EE$52,6,FALSE))*($I11*(($B$3))/F11)),2))</f>
        <v/>
      </c>
      <c r="K11" s="647"/>
      <c r="L11" s="6">
        <f t="shared" si="2"/>
        <v>0</v>
      </c>
      <c r="M11" s="300" t="str">
        <f>IF(ISERROR(ROUND(((VLOOKUP(CONCATENATE(VLOOKUP(D11,Budget!$D$19:$K$25,6,FALSE),'Add-On Tool'!$G$4),Budget!$DZ$5:$EF$52,7,FALSE))*($I11*($C$3)/$F$6)),2)),"",(ROUND(((VLOOKUP(CONCATENATE(VLOOKUP(D11,Budget!$D$19:$K$25,6,FALSE),'Add-On Tool'!$G$4),Budget!$DZ$5:$EF$52,7,FALSE))*($I11*($C$3)/$F$6)),2)))</f>
        <v/>
      </c>
      <c r="N11" s="647"/>
      <c r="O11" s="109">
        <f t="shared" si="3"/>
        <v>0</v>
      </c>
      <c r="P11" s="180" t="str">
        <f>IF(G11="","",IF(OR(G11&lt;Budget!$E$9,G11&gt;=Budget!$A$9),"x",""))</f>
        <v/>
      </c>
      <c r="Q11" s="180" t="str">
        <f>IF(H11="","",IF(OR(H11&lt;Budget!$E$9,H11&gt;=Budget!$A$9),"x",""))</f>
        <v/>
      </c>
      <c r="R11" s="253">
        <f t="shared" si="4"/>
        <v>0</v>
      </c>
      <c r="S11" s="258">
        <f t="shared" si="5"/>
        <v>0</v>
      </c>
      <c r="T11" t="str">
        <f t="shared" si="6"/>
        <v/>
      </c>
      <c r="U11" s="23">
        <f>IF(ISERROR(VLOOKUP(D11,Budget!$D$19:$R$25,8,FALSE)),0,(VLOOKUP(D11,Budget!$D$19:$R$25,9,FALSE)))</f>
        <v>250</v>
      </c>
      <c r="V11" s="23">
        <f>IF(ISERROR(VLOOKUP(D11,Budget!$D$19:$R$25,12,FALSE)),0,(VLOOKUP(D11,Budget!$D$19:$R$25,13,FALSE)))</f>
        <v>62</v>
      </c>
      <c r="AA11" s="47" t="str">
        <f>Budget!EP10</f>
        <v/>
      </c>
      <c r="AB11" s="43" t="str">
        <f>Budget!EQ10</f>
        <v/>
      </c>
      <c r="AC11" s="43" t="str">
        <f>Budget!ER10</f>
        <v/>
      </c>
      <c r="AD11" s="48" t="str">
        <f>Budget!ES10</f>
        <v/>
      </c>
      <c r="AE11" s="42"/>
      <c r="AF11" s="42"/>
      <c r="AG11" s="27" t="str">
        <f>Budget!EV10</f>
        <v>Family and Peer Mentoring Supports</v>
      </c>
      <c r="AH11" s="27" t="str">
        <f>Budget!EW10</f>
        <v>Family and Peer Mentoring Supports</v>
      </c>
      <c r="AI11" s="27" t="str">
        <f>Budget!EX10</f>
        <v>Family and Peer Mentoring Supports</v>
      </c>
      <c r="AJ11" s="27" t="str">
        <f>Budget!EY10</f>
        <v>Family and Peer Mentoring Supports</v>
      </c>
      <c r="AK11" s="27" t="str">
        <f>Budget!EZ10</f>
        <v>Family and Peer Mentoring Supports</v>
      </c>
      <c r="AL11" s="59" t="str">
        <f>Budget!FA10</f>
        <v>Family and Peer Mentoring Supports</v>
      </c>
      <c r="AN11" s="47" t="str">
        <f>Budget!FC10</f>
        <v/>
      </c>
      <c r="AO11" s="43" t="str">
        <f>Budget!FD10</f>
        <v/>
      </c>
      <c r="AP11" s="43">
        <f>Budget!FE10</f>
        <v>0</v>
      </c>
      <c r="AQ11" s="48" t="str">
        <f>Budget!FF10</f>
        <v/>
      </c>
      <c r="AR11" s="42"/>
      <c r="AS11" s="42"/>
      <c r="AT11" s="27">
        <f>Budget!FI10</f>
        <v>0</v>
      </c>
      <c r="AU11" s="93">
        <f>Budget!FJ10</f>
        <v>0</v>
      </c>
      <c r="AV11" s="93">
        <f>Budget!FK10</f>
        <v>0</v>
      </c>
      <c r="AW11" s="59">
        <f>Budget!FL10</f>
        <v>0</v>
      </c>
      <c r="AY11" s="47" t="str">
        <f>Budget!FN10</f>
        <v/>
      </c>
      <c r="AZ11" s="43" t="str">
        <f>Budget!FO10</f>
        <v/>
      </c>
      <c r="BA11" s="43">
        <f>Budget!FP10</f>
        <v>0</v>
      </c>
      <c r="BB11" s="48" t="str">
        <f>Budget!FQ10</f>
        <v/>
      </c>
      <c r="BC11" s="42"/>
      <c r="BD11" s="42"/>
      <c r="BE11" s="27">
        <f>Budget!FT10</f>
        <v>0</v>
      </c>
      <c r="BF11" s="59">
        <f>Budget!FU10</f>
        <v>0</v>
      </c>
      <c r="BH11" s="47" t="str">
        <f>IF(BI11="","",MAX(BH$3:BH10)+1)</f>
        <v/>
      </c>
      <c r="BI11" s="43" t="str">
        <f t="shared" si="0"/>
        <v/>
      </c>
      <c r="BJ11" s="43" t="str">
        <f>IF(AND(Budget!$E$12="Traditional",Budget!$A$12="Community Pathways Waiver"),BN11,"")</f>
        <v/>
      </c>
      <c r="BK11" s="48" t="str">
        <f t="shared" si="1"/>
        <v/>
      </c>
      <c r="BL11" s="42"/>
      <c r="BM11" s="42"/>
      <c r="BN11" s="59">
        <v>0</v>
      </c>
    </row>
    <row r="12" spans="1:66" ht="13.95" customHeight="1">
      <c r="B12" s="209"/>
      <c r="D12" s="396" t="s">
        <v>152</v>
      </c>
      <c r="E12" s="391"/>
      <c r="F12" s="291"/>
      <c r="G12" s="133"/>
      <c r="H12" s="134"/>
      <c r="I12" s="421"/>
      <c r="J12" s="300" t="str">
        <f>IF(ISERROR(ROUND(((VLOOKUP(CONCATENATE(VLOOKUP(D12,Budget!$D$19:$K$25,6,FALSE),'Add-On Tool'!$G$4),Budget!$DZ$5:$EE$52,6,FALSE))*($I12*(($B$3))/F12)),2)),"",ROUND(((VLOOKUP(CONCATENATE(VLOOKUP(D12,Budget!$D$19:$K$25,6,FALSE),'Add-On Tool'!$G$4),Budget!$DZ$5:$EE$52,6,FALSE))*($I12*(($B$3))/F12)),2))</f>
        <v/>
      </c>
      <c r="K12" s="647"/>
      <c r="L12" s="6">
        <f t="shared" si="2"/>
        <v>0</v>
      </c>
      <c r="M12" s="300" t="str">
        <f>IF(ISERROR(ROUND(((VLOOKUP(CONCATENATE(VLOOKUP(D12,Budget!$D$19:$K$25,6,FALSE),'Add-On Tool'!$G$4),Budget!$DZ$5:$EF$52,7,FALSE))*($I12*($C$3)/$F$6)),2)),"",(ROUND(((VLOOKUP(CONCATENATE(VLOOKUP(D12,Budget!$D$19:$K$25,6,FALSE),'Add-On Tool'!$G$4),Budget!$DZ$5:$EF$52,7,FALSE))*($I12*($C$3)/$F$6)),2)))</f>
        <v/>
      </c>
      <c r="N12" s="647"/>
      <c r="O12" s="109">
        <f t="shared" si="3"/>
        <v>0</v>
      </c>
      <c r="P12" s="180" t="str">
        <f>IF(G12="","",IF(OR(G12&lt;Budget!$E$9,G12&gt;=Budget!$A$9),"x",""))</f>
        <v/>
      </c>
      <c r="Q12" s="180" t="str">
        <f>IF(H12="","",IF(OR(H12&lt;Budget!$E$9,H12&gt;=Budget!$A$9),"x",""))</f>
        <v/>
      </c>
      <c r="R12" s="253">
        <f t="shared" si="4"/>
        <v>0</v>
      </c>
      <c r="S12" s="258">
        <f t="shared" si="5"/>
        <v>0</v>
      </c>
      <c r="T12" t="str">
        <f t="shared" si="6"/>
        <v/>
      </c>
      <c r="U12" s="23">
        <f>IF(ISERROR(VLOOKUP(D12,Budget!$D$19:$R$25,8,FALSE)),0,(VLOOKUP(D12,Budget!$D$19:$R$25,9,FALSE)))</f>
        <v>250</v>
      </c>
      <c r="V12" s="23">
        <f>IF(ISERROR(VLOOKUP(D12,Budget!$D$19:$R$25,12,FALSE)),0,(VLOOKUP(D12,Budget!$D$19:$R$25,13,FALSE)))</f>
        <v>62</v>
      </c>
      <c r="AA12" s="47" t="str">
        <f>Budget!EP11</f>
        <v/>
      </c>
      <c r="AB12" s="43" t="str">
        <f>Budget!EQ11</f>
        <v/>
      </c>
      <c r="AC12" s="43" t="str">
        <f>Budget!ER11</f>
        <v/>
      </c>
      <c r="AD12" s="48" t="str">
        <f>Budget!ES11</f>
        <v/>
      </c>
      <c r="AE12" s="42"/>
      <c r="AF12" s="42"/>
      <c r="AG12" s="99" t="str">
        <f>Budget!EV11</f>
        <v>Family Caregiver Training and Empowerment</v>
      </c>
      <c r="AH12" s="99" t="str">
        <f>Budget!EW11</f>
        <v>Family Caregiver Training and Empowerment</v>
      </c>
      <c r="AI12" s="99" t="str">
        <f>Budget!EX11</f>
        <v>Family Caregiver Training and Empowerment</v>
      </c>
      <c r="AJ12" s="99" t="str">
        <f>Budget!EY11</f>
        <v>Family Caregiver Training and Empowerment</v>
      </c>
      <c r="AK12" s="99" t="str">
        <f>Budget!EZ11</f>
        <v>Family Caregiver Training and Empowerment</v>
      </c>
      <c r="AL12" s="100" t="str">
        <f>Budget!FA11</f>
        <v>Family Caregiver Training and Empowerment</v>
      </c>
      <c r="AN12" s="47" t="str">
        <f>Budget!FC11</f>
        <v/>
      </c>
      <c r="AO12" s="43" t="str">
        <f>Budget!FD11</f>
        <v/>
      </c>
      <c r="AP12" s="43">
        <f>Budget!FE11</f>
        <v>0</v>
      </c>
      <c r="AQ12" s="48" t="str">
        <f>Budget!FF11</f>
        <v/>
      </c>
      <c r="AR12" s="42"/>
      <c r="AS12" s="42"/>
      <c r="AT12" s="18">
        <f>Budget!FI11</f>
        <v>0</v>
      </c>
      <c r="AU12" s="94">
        <f>Budget!FJ11</f>
        <v>0</v>
      </c>
      <c r="AV12" s="94">
        <f>Budget!FK11</f>
        <v>0</v>
      </c>
      <c r="AW12" s="58">
        <f>Budget!FL11</f>
        <v>0</v>
      </c>
      <c r="AY12" s="47" t="str">
        <f>Budget!FN11</f>
        <v/>
      </c>
      <c r="AZ12" s="43" t="str">
        <f>Budget!FO11</f>
        <v/>
      </c>
      <c r="BA12" s="43">
        <f>Budget!FP11</f>
        <v>0</v>
      </c>
      <c r="BB12" s="48" t="str">
        <f>Budget!FQ11</f>
        <v/>
      </c>
      <c r="BC12" s="42"/>
      <c r="BD12" s="42"/>
      <c r="BE12" s="18">
        <f>Budget!FT11</f>
        <v>0</v>
      </c>
      <c r="BF12" s="58">
        <f>Budget!FU11</f>
        <v>0</v>
      </c>
      <c r="BH12" s="47" t="str">
        <f>IF(BI12="","",MAX(BH$3:BH11)+1)</f>
        <v/>
      </c>
      <c r="BI12" s="43" t="str">
        <f t="shared" si="0"/>
        <v/>
      </c>
      <c r="BJ12" s="43" t="str">
        <f>IF(AND(Budget!$E$12="Traditional",Budget!$A$12="Community Pathways Waiver"),BN12,"")</f>
        <v/>
      </c>
      <c r="BK12" s="48" t="str">
        <f t="shared" si="1"/>
        <v/>
      </c>
      <c r="BL12" s="42"/>
      <c r="BM12" s="42"/>
      <c r="BN12" s="58">
        <v>0</v>
      </c>
    </row>
    <row r="13" spans="1:66" ht="13.95" customHeight="1" thickBot="1">
      <c r="B13" s="209"/>
      <c r="D13" s="396"/>
      <c r="E13" s="391"/>
      <c r="F13" s="291"/>
      <c r="G13" s="133"/>
      <c r="H13" s="134"/>
      <c r="I13" s="421"/>
      <c r="J13" s="300" t="str">
        <f>IF(ISERROR(ROUND(((VLOOKUP(CONCATENATE(VLOOKUP(D13,Budget!$D$19:$K$25,6,FALSE),'Add-On Tool'!$G$4),Budget!$DZ$5:$EE$52,6,FALSE))*($I13*(($B$3))/$F$6)),2)),"",ROUND(((VLOOKUP(CONCATENATE(VLOOKUP(D13,Budget!$D$19:$K$25,6,FALSE),'Add-On Tool'!$G$4),Budget!$DZ$5:$EE$52,6,FALSE))*($I13*(($B$3))/$F$6)),2))</f>
        <v/>
      </c>
      <c r="K13" s="647"/>
      <c r="L13" s="6">
        <f t="shared" si="2"/>
        <v>0</v>
      </c>
      <c r="M13" s="300" t="str">
        <f>IF(ISERROR(ROUND(((VLOOKUP(CONCATENATE(VLOOKUP(D13,Budget!$D$19:$K$25,6,FALSE),'Add-On Tool'!$G$4),Budget!$DZ$5:$EF$52,7,FALSE))*($I13*($C$3)/$F$6)),2)),"",(ROUND(((VLOOKUP(CONCATENATE(VLOOKUP(D13,Budget!$D$19:$K$25,6,FALSE),'Add-On Tool'!$G$4),Budget!$DZ$5:$EF$52,7,FALSE))*($I13*($C$3)/$F$6)),2)))</f>
        <v/>
      </c>
      <c r="N13" s="647"/>
      <c r="O13" s="109">
        <f t="shared" si="3"/>
        <v>0</v>
      </c>
      <c r="P13" s="180" t="str">
        <f>IF(G13="","",IF(OR(G13&lt;Budget!$E$9,G13&gt;=Budget!$A$9),"x",""))</f>
        <v/>
      </c>
      <c r="Q13" s="180" t="str">
        <f>IF(H13="","",IF(OR(H13&lt;Budget!$E$9,H13&gt;=Budget!$A$9),"x",""))</f>
        <v/>
      </c>
      <c r="R13" s="253">
        <f t="shared" si="4"/>
        <v>0</v>
      </c>
      <c r="S13" s="258">
        <f t="shared" si="5"/>
        <v>0</v>
      </c>
      <c r="T13" t="str">
        <f t="shared" si="6"/>
        <v/>
      </c>
      <c r="U13" s="23">
        <f>IF(ISERROR(VLOOKUP(D13,Budget!$D$19:$R$25,8,FALSE)),0,(VLOOKUP(D13,Budget!$D$19:$R$25,9,FALSE)))</f>
        <v>0</v>
      </c>
      <c r="V13" s="23">
        <f>IF(ISERROR(VLOOKUP(D13,Budget!$D$19:$R$25,12,FALSE)),0,(VLOOKUP(D13,Budget!$D$19:$R$25,13,FALSE)))</f>
        <v>0</v>
      </c>
      <c r="AA13" s="47" t="str">
        <f>Budget!EP12</f>
        <v/>
      </c>
      <c r="AB13" s="43" t="str">
        <f>Budget!EQ12</f>
        <v/>
      </c>
      <c r="AC13" s="43" t="str">
        <f>Budget!ER12</f>
        <v/>
      </c>
      <c r="AD13" s="48" t="str">
        <f>Budget!ES12</f>
        <v/>
      </c>
      <c r="AE13" s="42"/>
      <c r="AF13" s="42"/>
      <c r="AG13" s="27" t="str">
        <f>Budget!EV12</f>
        <v>Housing Support Services</v>
      </c>
      <c r="AH13" s="27" t="str">
        <f>Budget!EW12</f>
        <v>Housing Support Services</v>
      </c>
      <c r="AI13" s="27" t="str">
        <f>Budget!EX12</f>
        <v>Housing Support Services</v>
      </c>
      <c r="AJ13" s="27" t="str">
        <f>Budget!EY12</f>
        <v>Housing Support Services</v>
      </c>
      <c r="AK13" s="27" t="str">
        <f>Budget!EZ12</f>
        <v>Housing Support Services</v>
      </c>
      <c r="AL13" s="59" t="str">
        <f>Budget!FA12</f>
        <v>Housing Support Services</v>
      </c>
      <c r="AN13" s="47" t="str">
        <f>Budget!FC12</f>
        <v/>
      </c>
      <c r="AO13" s="43" t="str">
        <f>Budget!FD12</f>
        <v/>
      </c>
      <c r="AP13" s="43">
        <f>Budget!FE12</f>
        <v>0</v>
      </c>
      <c r="AQ13" s="48" t="str">
        <f>Budget!FF12</f>
        <v/>
      </c>
      <c r="AR13" s="42"/>
      <c r="AS13" s="42"/>
      <c r="AT13" s="27">
        <f>Budget!FI12</f>
        <v>0</v>
      </c>
      <c r="AU13" s="93">
        <f>Budget!FJ12</f>
        <v>0</v>
      </c>
      <c r="AV13" s="93">
        <f>Budget!FK12</f>
        <v>0</v>
      </c>
      <c r="AW13" s="59">
        <f>Budget!FL12</f>
        <v>0</v>
      </c>
      <c r="AY13" s="47" t="str">
        <f>Budget!FN12</f>
        <v/>
      </c>
      <c r="AZ13" s="43" t="str">
        <f>Budget!FO12</f>
        <v/>
      </c>
      <c r="BA13" s="43">
        <f>Budget!FP12</f>
        <v>0</v>
      </c>
      <c r="BB13" s="48" t="str">
        <f>Budget!FQ12</f>
        <v/>
      </c>
      <c r="BC13" s="42"/>
      <c r="BD13" s="42"/>
      <c r="BE13" s="27">
        <f>Budget!FT12</f>
        <v>0</v>
      </c>
      <c r="BF13" s="59">
        <f>Budget!FU12</f>
        <v>0</v>
      </c>
      <c r="BH13" s="47" t="str">
        <f>IF(BI13="","",MAX(BH$3:BH12)+1)</f>
        <v/>
      </c>
      <c r="BI13" s="43" t="str">
        <f t="shared" si="0"/>
        <v/>
      </c>
      <c r="BJ13" s="43" t="str">
        <f>IF(AND(Budget!$E$12="Traditional",Budget!$A$12="Community Pathways Waiver"),BN13,"")</f>
        <v/>
      </c>
      <c r="BK13" s="48" t="str">
        <f t="shared" si="1"/>
        <v/>
      </c>
      <c r="BL13" s="42"/>
      <c r="BM13" s="42"/>
      <c r="BN13" s="59">
        <v>0</v>
      </c>
    </row>
    <row r="14" spans="1:66" ht="13.95" customHeight="1" thickBot="1">
      <c r="B14" s="209"/>
      <c r="D14" s="397"/>
      <c r="E14" s="392"/>
      <c r="F14" s="292"/>
      <c r="G14" s="135"/>
      <c r="H14" s="136"/>
      <c r="I14" s="422"/>
      <c r="J14" s="301" t="str">
        <f>IF(ISERROR(ROUND(((VLOOKUP(CONCATENATE(VLOOKUP(D14,Budget!$D$19:$K$25,6,FALSE),'Add-On Tool'!$G$4),Budget!$DZ$5:$EE$52,6,FALSE))*($I14*(($B$3))/$F$6)),2)),"",ROUND(((VLOOKUP(CONCATENATE(VLOOKUP(D14,Budget!$D$19:$K$25,6,FALSE),'Add-On Tool'!$G$4),Budget!$DZ$5:$EE$52,6,FALSE))*($I14*(($B$3))/$F$6)),2))</f>
        <v/>
      </c>
      <c r="K14" s="648"/>
      <c r="L14" s="196">
        <f t="shared" si="2"/>
        <v>0</v>
      </c>
      <c r="M14" s="301" t="str">
        <f>IF(ISERROR(ROUND(((VLOOKUP(CONCATENATE(VLOOKUP(D14,Budget!$D$19:$K$25,6,FALSE),'Add-On Tool'!$G$4),Budget!$DZ$5:$EF$52,7,FALSE))*($I14*($C$3)/$F$6)),2)),"",(ROUND(((VLOOKUP(CONCATENATE(VLOOKUP(D14,Budget!$D$19:$K$25,6,FALSE),'Add-On Tool'!$G$4),Budget!$DZ$5:$EF$52,7,FALSE))*($I14*($C$3)/$F$6)),2)))</f>
        <v/>
      </c>
      <c r="N14" s="648"/>
      <c r="O14" s="110">
        <f t="shared" si="3"/>
        <v>0</v>
      </c>
      <c r="P14" s="181" t="str">
        <f>IF(G14="","",IF(OR(G14&lt;Budget!$E$9,G14&gt;=Budget!$A$9),"x",""))</f>
        <v/>
      </c>
      <c r="Q14" s="181" t="str">
        <f>IF(H14="","",IF(OR(H14&lt;Budget!$E$9,H14&gt;=Budget!$A$9),"x",""))</f>
        <v/>
      </c>
      <c r="R14" s="254">
        <f t="shared" si="4"/>
        <v>0</v>
      </c>
      <c r="S14" s="259">
        <f t="shared" si="5"/>
        <v>0</v>
      </c>
      <c r="T14" s="124" t="str">
        <f t="shared" si="6"/>
        <v/>
      </c>
      <c r="U14" s="9">
        <f>IF(ISERROR(VLOOKUP(D14,Budget!$D$19:$R$25,8,FALSE)),0,(VLOOKUP(D14,Budget!$D$19:$R$25,9,FALSE)))</f>
        <v>0</v>
      </c>
      <c r="V14" s="9">
        <f>IF(ISERROR(VLOOKUP(D14,Budget!$D$19:$R$25,12,FALSE)),0,(VLOOKUP(D14,Budget!$D$19:$R$25,13,FALSE)))</f>
        <v>0</v>
      </c>
      <c r="AA14" s="47" t="str">
        <f>Budget!EP13</f>
        <v/>
      </c>
      <c r="AB14" s="43" t="str">
        <f>Budget!EQ13</f>
        <v/>
      </c>
      <c r="AC14" s="43" t="str">
        <f>Budget!ER13</f>
        <v/>
      </c>
      <c r="AD14" s="48" t="str">
        <f>Budget!ES13</f>
        <v/>
      </c>
      <c r="AE14" s="42"/>
      <c r="AF14" s="42"/>
      <c r="AG14" s="99" t="str">
        <f>Budget!EV13</f>
        <v>Individual and Family Directed Goods and Services - Recruitment &amp; Advertising</v>
      </c>
      <c r="AH14" s="99" t="str">
        <f>Budget!EW13</f>
        <v>Nursing Support Services</v>
      </c>
      <c r="AI14" s="99" t="str">
        <f>Budget!EX13</f>
        <v>Individual and Family Directed Goods and Services - Recruitment &amp; Advertising</v>
      </c>
      <c r="AJ14" s="99" t="str">
        <f>Budget!EY13</f>
        <v>Live In Caregiver Support</v>
      </c>
      <c r="AK14" s="99" t="str">
        <f>Budget!EZ13</f>
        <v>Individual and Family Directed Goods and Services - Recruitment &amp; Advertising</v>
      </c>
      <c r="AL14" s="100" t="str">
        <f>Budget!FA13</f>
        <v>Nursing Support Services</v>
      </c>
      <c r="AN14" s="47" t="str">
        <f>Budget!FC13</f>
        <v/>
      </c>
      <c r="AO14" s="43" t="str">
        <f>Budget!FD13</f>
        <v/>
      </c>
      <c r="AP14" s="43">
        <f>Budget!FE13</f>
        <v>0</v>
      </c>
      <c r="AQ14" s="48" t="str">
        <f>Budget!FF13</f>
        <v/>
      </c>
      <c r="AR14" s="42"/>
      <c r="AS14" s="42"/>
      <c r="AT14" s="18">
        <f>Budget!FI13</f>
        <v>0</v>
      </c>
      <c r="AU14" s="94">
        <f>Budget!FJ13</f>
        <v>0</v>
      </c>
      <c r="AV14" s="94">
        <f>Budget!FK13</f>
        <v>0</v>
      </c>
      <c r="AW14" s="58">
        <f>Budget!FL13</f>
        <v>0</v>
      </c>
      <c r="AY14" s="47" t="str">
        <f>Budget!FN13</f>
        <v/>
      </c>
      <c r="AZ14" s="43" t="str">
        <f>Budget!FO13</f>
        <v/>
      </c>
      <c r="BA14" s="43">
        <f>Budget!FP13</f>
        <v>0</v>
      </c>
      <c r="BB14" s="48" t="str">
        <f>Budget!FQ13</f>
        <v/>
      </c>
      <c r="BC14" s="42"/>
      <c r="BD14" s="42"/>
      <c r="BE14" s="18">
        <f>Budget!FT13</f>
        <v>0</v>
      </c>
      <c r="BF14" s="58">
        <f>Budget!FU13</f>
        <v>0</v>
      </c>
      <c r="BH14" s="47" t="str">
        <f>IF(BI14="","",MAX(BH$3:BH13)+1)</f>
        <v/>
      </c>
      <c r="BI14" s="43" t="str">
        <f t="shared" si="0"/>
        <v/>
      </c>
      <c r="BJ14" s="43" t="str">
        <f>IF(AND(Budget!$E$12="Traditional",Budget!$A$12="Community Pathways Waiver"),BN14,"")</f>
        <v/>
      </c>
      <c r="BK14" s="48" t="str">
        <f t="shared" si="1"/>
        <v/>
      </c>
      <c r="BL14" s="42"/>
      <c r="BM14" s="42"/>
      <c r="BN14" s="58">
        <v>0</v>
      </c>
    </row>
    <row r="15" spans="1:66" ht="13.95" customHeight="1" thickBot="1">
      <c r="B15" s="209"/>
      <c r="G15" s="31"/>
      <c r="H15" s="130"/>
      <c r="K15" s="117" t="str">
        <f>"FY "&amp;MID(J4,6,8)</f>
        <v>FY 24 Total</v>
      </c>
      <c r="L15" s="81">
        <f>SUM(L6:L14)</f>
        <v>0</v>
      </c>
      <c r="N15" s="117" t="str">
        <f>"FY "&amp;MID(M4,6,8)</f>
        <v>FY 25 Total</v>
      </c>
      <c r="O15" s="81">
        <f>SUM(O6:O14)</f>
        <v>0</v>
      </c>
      <c r="U15" s="122"/>
      <c r="V15" s="122"/>
      <c r="AA15" s="47">
        <f>Budget!EP14</f>
        <v>12</v>
      </c>
      <c r="AB15" s="43" t="str">
        <f>Budget!EQ14</f>
        <v/>
      </c>
      <c r="AC15" s="43" t="str">
        <f>Budget!ER14</f>
        <v/>
      </c>
      <c r="AD15" s="48" t="str">
        <f>Budget!ES14</f>
        <v/>
      </c>
      <c r="AE15" s="42"/>
      <c r="AF15" s="42"/>
      <c r="AG15" s="27" t="str">
        <f>Budget!EV14</f>
        <v>Nursing Support Services</v>
      </c>
      <c r="AH15" s="27" t="str">
        <f>Budget!EW14</f>
        <v>Participant Ed, Training, and Advocacy</v>
      </c>
      <c r="AI15" s="27" t="str">
        <f>Budget!EX14</f>
        <v>Live In Caregiver Support</v>
      </c>
      <c r="AJ15" s="27" t="str">
        <f>Budget!EY14</f>
        <v>Nursing Support Services</v>
      </c>
      <c r="AK15" s="27" t="str">
        <f>Budget!EZ14</f>
        <v>Nursing Support Services</v>
      </c>
      <c r="AL15" s="59" t="str">
        <f>Budget!FA14</f>
        <v>Participant Ed, Training, and Advocacy</v>
      </c>
      <c r="AN15" s="47" t="str">
        <f>Budget!FC14</f>
        <v/>
      </c>
      <c r="AO15" s="43" t="str">
        <f>Budget!FD14</f>
        <v/>
      </c>
      <c r="AP15" s="43">
        <f>Budget!FE14</f>
        <v>0</v>
      </c>
      <c r="AQ15" s="48" t="str">
        <f>Budget!FF14</f>
        <v/>
      </c>
      <c r="AR15" s="42"/>
      <c r="AS15" s="42"/>
      <c r="AT15" s="27">
        <f>Budget!FI14</f>
        <v>0</v>
      </c>
      <c r="AU15" s="93">
        <f>Budget!FJ14</f>
        <v>0</v>
      </c>
      <c r="AV15" s="93">
        <f>Budget!FK14</f>
        <v>0</v>
      </c>
      <c r="AW15" s="59">
        <f>Budget!FL14</f>
        <v>0</v>
      </c>
      <c r="AY15" s="47" t="str">
        <f>Budget!FN14</f>
        <v/>
      </c>
      <c r="AZ15" s="43" t="str">
        <f>Budget!FO14</f>
        <v/>
      </c>
      <c r="BA15" s="43">
        <f>Budget!FP14</f>
        <v>0</v>
      </c>
      <c r="BB15" s="48" t="str">
        <f>Budget!FQ14</f>
        <v/>
      </c>
      <c r="BC15" s="42"/>
      <c r="BD15" s="42"/>
      <c r="BE15" s="27">
        <f>Budget!FT14</f>
        <v>0</v>
      </c>
      <c r="BF15" s="59">
        <f>Budget!FU14</f>
        <v>0</v>
      </c>
      <c r="BH15" s="47" t="str">
        <f>IF(BI15="","",MAX(BH$3:BH14)+1)</f>
        <v/>
      </c>
      <c r="BI15" s="43" t="str">
        <f t="shared" si="0"/>
        <v/>
      </c>
      <c r="BJ15" s="43" t="str">
        <f>IF(AND(Budget!$E$12="Traditional",Budget!$A$12="Community Pathways Waiver"),BN15,"")</f>
        <v/>
      </c>
      <c r="BK15" s="48" t="str">
        <f t="shared" si="1"/>
        <v/>
      </c>
      <c r="BL15" s="42"/>
      <c r="BM15" s="42"/>
      <c r="BN15" s="59">
        <v>0</v>
      </c>
    </row>
    <row r="16" spans="1:66" ht="13.95" customHeight="1">
      <c r="B16" s="209"/>
      <c r="G16" s="31"/>
      <c r="H16">
        <v>28.94</v>
      </c>
      <c r="AA16" s="47" t="str">
        <f>Budget!EP15</f>
        <v/>
      </c>
      <c r="AB16" s="43" t="str">
        <f>Budget!EQ15</f>
        <v/>
      </c>
      <c r="AC16" s="43" t="str">
        <f>Budget!ER15</f>
        <v/>
      </c>
      <c r="AD16" s="48" t="str">
        <f>Budget!ES15</f>
        <v/>
      </c>
      <c r="AE16" s="42"/>
      <c r="AF16" s="42"/>
      <c r="AG16" s="99" t="str">
        <f>Budget!EV15</f>
        <v>Participant Ed, Training, and Advocacy</v>
      </c>
      <c r="AH16" s="99" t="str">
        <f>Budget!EW15</f>
        <v>Respite Care Services - Camp</v>
      </c>
      <c r="AI16" s="99" t="str">
        <f>Budget!EX15</f>
        <v>Nursing Support Services</v>
      </c>
      <c r="AJ16" s="99" t="str">
        <f>Budget!EY15</f>
        <v>Participant Ed, Training, and Advocacy</v>
      </c>
      <c r="AK16" s="99" t="str">
        <f>Budget!EZ15</f>
        <v>Participant Ed, Training, and Advocacy</v>
      </c>
      <c r="AL16" s="100" t="str">
        <f>Budget!FA15</f>
        <v>Respite Care Services - Camp</v>
      </c>
      <c r="AN16" s="47" t="str">
        <f>Budget!FC15</f>
        <v/>
      </c>
      <c r="AO16" s="43" t="str">
        <f>Budget!FD15</f>
        <v/>
      </c>
      <c r="AP16" s="43">
        <f>Budget!FE15</f>
        <v>0</v>
      </c>
      <c r="AQ16" s="48" t="str">
        <f>Budget!FF15</f>
        <v/>
      </c>
      <c r="AR16" s="42"/>
      <c r="AS16" s="42"/>
      <c r="AT16" s="18">
        <f>Budget!FI15</f>
        <v>0</v>
      </c>
      <c r="AU16" s="94">
        <f>Budget!FJ15</f>
        <v>0</v>
      </c>
      <c r="AV16" s="94">
        <f>Budget!FK15</f>
        <v>0</v>
      </c>
      <c r="AW16" s="58">
        <f>Budget!FL15</f>
        <v>0</v>
      </c>
      <c r="AY16" s="47" t="str">
        <f>Budget!FN15</f>
        <v/>
      </c>
      <c r="AZ16" s="43" t="str">
        <f>Budget!FO15</f>
        <v/>
      </c>
      <c r="BA16" s="43">
        <f>Budget!FP15</f>
        <v>0</v>
      </c>
      <c r="BB16" s="48" t="str">
        <f>Budget!FQ15</f>
        <v/>
      </c>
      <c r="BC16" s="42"/>
      <c r="BD16" s="42"/>
      <c r="BE16" s="18">
        <f>Budget!FT15</f>
        <v>0</v>
      </c>
      <c r="BF16" s="58">
        <f>Budget!FU15</f>
        <v>0</v>
      </c>
      <c r="BH16" s="47" t="str">
        <f>IF(BI16="","",MAX(BH$3:BH15)+1)</f>
        <v/>
      </c>
      <c r="BI16" s="43" t="str">
        <f t="shared" si="0"/>
        <v/>
      </c>
      <c r="BJ16" s="43" t="str">
        <f>IF(AND(Budget!$E$12="Traditional",Budget!$A$12="Community Pathways Waiver"),BN16,"")</f>
        <v/>
      </c>
      <c r="BK16" s="48" t="str">
        <f t="shared" si="1"/>
        <v/>
      </c>
      <c r="BL16" s="42"/>
      <c r="BM16" s="42"/>
      <c r="BN16" s="58">
        <v>0</v>
      </c>
    </row>
    <row r="17" spans="2:66" ht="42" thickBot="1">
      <c r="B17" s="209"/>
      <c r="D17" s="4" t="s">
        <v>297</v>
      </c>
      <c r="E17" s="4"/>
      <c r="AA17" s="47" t="str">
        <f>Budget!EP16</f>
        <v/>
      </c>
      <c r="AB17" s="43" t="str">
        <f>Budget!EQ16</f>
        <v/>
      </c>
      <c r="AC17" s="43" t="str">
        <f>Budget!ER16</f>
        <v/>
      </c>
      <c r="AD17" s="48" t="str">
        <f>Budget!ES16</f>
        <v/>
      </c>
      <c r="AE17" s="42"/>
      <c r="AF17" s="42"/>
      <c r="AG17" s="27" t="str">
        <f>Budget!EV16</f>
        <v>Respite Care Services - Camp</v>
      </c>
      <c r="AH17" s="27" t="str">
        <f>Budget!EW16</f>
        <v>Respite Care Services - Day</v>
      </c>
      <c r="AI17" s="27" t="str">
        <f>Budget!EX16</f>
        <v>Participant Ed, Training, and Advocacy</v>
      </c>
      <c r="AJ17" s="27" t="str">
        <f>Budget!EY16</f>
        <v>Remote Support Services</v>
      </c>
      <c r="AK17" s="27" t="str">
        <f>Budget!EZ16</f>
        <v>Respite Care Services - Camp</v>
      </c>
      <c r="AL17" s="59" t="str">
        <f>Budget!FA16</f>
        <v>Respite Care Services - Day</v>
      </c>
      <c r="AN17" s="47" t="str">
        <f>Budget!FC16</f>
        <v/>
      </c>
      <c r="AO17" s="43" t="str">
        <f>Budget!FD16</f>
        <v/>
      </c>
      <c r="AP17" s="43">
        <f>Budget!FE16</f>
        <v>0</v>
      </c>
      <c r="AQ17" s="48" t="str">
        <f>Budget!FF16</f>
        <v/>
      </c>
      <c r="AR17" s="42"/>
      <c r="AS17" s="42"/>
      <c r="AT17" s="27">
        <f>Budget!FI16</f>
        <v>0</v>
      </c>
      <c r="AU17" s="93">
        <f>Budget!FJ16</f>
        <v>0</v>
      </c>
      <c r="AV17" s="93">
        <f>Budget!FK16</f>
        <v>0</v>
      </c>
      <c r="AW17" s="59">
        <f>Budget!FL16</f>
        <v>0</v>
      </c>
      <c r="AY17" s="47" t="str">
        <f>Budget!FN16</f>
        <v/>
      </c>
      <c r="AZ17" s="43" t="str">
        <f>Budget!FO16</f>
        <v/>
      </c>
      <c r="BA17" s="43">
        <f>Budget!FP16</f>
        <v>0</v>
      </c>
      <c r="BB17" s="48" t="str">
        <f>Budget!FQ16</f>
        <v/>
      </c>
      <c r="BC17" s="42"/>
      <c r="BD17" s="42"/>
      <c r="BE17" s="27">
        <f>Budget!FT16</f>
        <v>0</v>
      </c>
      <c r="BF17" s="59">
        <f>Budget!FU16</f>
        <v>0</v>
      </c>
      <c r="BH17" s="47" t="str">
        <f>IF(BI17="","",MAX(BH$3:BH16)+1)</f>
        <v/>
      </c>
      <c r="BI17" s="43" t="str">
        <f t="shared" si="0"/>
        <v/>
      </c>
      <c r="BJ17" s="43" t="str">
        <f>IF(AND(Budget!$E$12="Traditional",Budget!$A$12="Community Pathways Waiver"),BN17,"")</f>
        <v/>
      </c>
      <c r="BK17" s="48" t="str">
        <f t="shared" si="1"/>
        <v/>
      </c>
      <c r="BL17" s="42"/>
      <c r="BM17" s="42"/>
      <c r="BN17" s="59">
        <v>0</v>
      </c>
    </row>
    <row r="18" spans="2:66" ht="13.95" customHeight="1" thickBot="1">
      <c r="B18" s="209"/>
      <c r="D18" s="255" t="s">
        <v>434</v>
      </c>
      <c r="E18" s="255"/>
      <c r="M18" s="77"/>
      <c r="N18" s="77"/>
      <c r="O18" s="77"/>
      <c r="P18" s="77"/>
      <c r="Q18" s="77"/>
      <c r="R18" s="77"/>
      <c r="S18" s="77"/>
      <c r="T18" s="77"/>
      <c r="U18" s="77"/>
      <c r="V18" s="77"/>
      <c r="W18" s="77"/>
      <c r="X18" s="77"/>
      <c r="Y18" s="77"/>
      <c r="Z18" s="77"/>
      <c r="AA18" s="47" t="str">
        <f>Budget!EP17</f>
        <v/>
      </c>
      <c r="AB18" s="43" t="str">
        <f>Budget!EQ17</f>
        <v/>
      </c>
      <c r="AC18" s="43" t="str">
        <f>Budget!ER17</f>
        <v/>
      </c>
      <c r="AD18" s="48" t="str">
        <f>Budget!ES17</f>
        <v/>
      </c>
      <c r="AE18" s="42"/>
      <c r="AF18" s="42"/>
      <c r="AG18" s="99" t="str">
        <f>Budget!EV17</f>
        <v>Respite Care Services - Day</v>
      </c>
      <c r="AH18" s="99" t="str">
        <f>Budget!EW17</f>
        <v>Respite Care Services - Hour</v>
      </c>
      <c r="AI18" s="99" t="str">
        <f>Budget!EX17</f>
        <v>Remote Support Services</v>
      </c>
      <c r="AJ18" s="99" t="str">
        <f>Budget!EY17</f>
        <v>Respite Care Services - Camp</v>
      </c>
      <c r="AK18" s="99" t="str">
        <f>Budget!EZ17</f>
        <v>Respite Care Services - Day</v>
      </c>
      <c r="AL18" s="100" t="str">
        <f>Budget!FA17</f>
        <v>Respite Care Services - Hour</v>
      </c>
      <c r="AN18" s="47" t="str">
        <f>Budget!FC17</f>
        <v/>
      </c>
      <c r="AO18" s="43" t="str">
        <f>Budget!FD17</f>
        <v/>
      </c>
      <c r="AP18" s="43">
        <f>Budget!FE17</f>
        <v>0</v>
      </c>
      <c r="AQ18" s="48" t="str">
        <f>Budget!FF17</f>
        <v/>
      </c>
      <c r="AR18" s="42"/>
      <c r="AS18" s="42"/>
      <c r="AT18" s="18">
        <f>Budget!FI17</f>
        <v>0</v>
      </c>
      <c r="AU18" s="94">
        <f>Budget!FJ17</f>
        <v>0</v>
      </c>
      <c r="AV18" s="94">
        <f>Budget!FK17</f>
        <v>0</v>
      </c>
      <c r="AW18" s="58">
        <f>Budget!FL17</f>
        <v>0</v>
      </c>
      <c r="AY18" s="47" t="str">
        <f>Budget!FN17</f>
        <v/>
      </c>
      <c r="AZ18" s="43" t="str">
        <f>Budget!FO17</f>
        <v/>
      </c>
      <c r="BA18" s="43">
        <f>Budget!FP17</f>
        <v>0</v>
      </c>
      <c r="BB18" s="48" t="str">
        <f>Budget!FQ17</f>
        <v/>
      </c>
      <c r="BC18" s="42"/>
      <c r="BD18" s="42"/>
      <c r="BE18" s="18">
        <f>Budget!FT17</f>
        <v>0</v>
      </c>
      <c r="BF18" s="58">
        <f>Budget!FU17</f>
        <v>0</v>
      </c>
      <c r="BH18" s="47" t="str">
        <f>IF(BI18="","",MAX(BH$3:BH17)+1)</f>
        <v/>
      </c>
      <c r="BI18" s="43" t="str">
        <f t="shared" si="0"/>
        <v/>
      </c>
      <c r="BJ18" s="43" t="str">
        <f>IF(AND(Budget!$E$12="Traditional",Budget!$A$12="Community Pathways Waiver"),BN18,"")</f>
        <v/>
      </c>
      <c r="BK18" s="48" t="str">
        <f t="shared" si="1"/>
        <v/>
      </c>
      <c r="BL18" s="42"/>
      <c r="BM18" s="42"/>
      <c r="BN18" s="58">
        <v>0</v>
      </c>
    </row>
    <row r="19" spans="2:66" ht="13.95" customHeight="1" thickBot="1">
      <c r="B19" s="209"/>
      <c r="I19" s="726" t="str">
        <f>+$J$4</f>
        <v>FY 2024 Totals</v>
      </c>
      <c r="J19" s="727"/>
      <c r="K19" s="683" t="str">
        <f>+$L$4</f>
        <v>0 Days</v>
      </c>
      <c r="L19" s="726" t="str">
        <f>+$M$4</f>
        <v>FY 2025 Totals</v>
      </c>
      <c r="M19" s="727"/>
      <c r="N19" s="683" t="str">
        <f>+$O$4</f>
        <v>0 Days</v>
      </c>
      <c r="O19" s="77"/>
      <c r="P19" s="77"/>
      <c r="Q19" s="77"/>
      <c r="R19" s="77"/>
      <c r="S19" s="77"/>
      <c r="T19" s="77"/>
      <c r="U19" s="77"/>
      <c r="V19" s="77"/>
      <c r="W19" s="77"/>
      <c r="X19" s="77"/>
      <c r="Y19" s="77"/>
      <c r="Z19" s="77"/>
      <c r="AA19" s="47" t="str">
        <f>Budget!EP18</f>
        <v/>
      </c>
      <c r="AB19" s="43" t="str">
        <f>Budget!EQ18</f>
        <v/>
      </c>
      <c r="AC19" s="43" t="str">
        <f>Budget!ER18</f>
        <v/>
      </c>
      <c r="AD19" s="48" t="str">
        <f>Budget!ES18</f>
        <v/>
      </c>
      <c r="AE19" s="42"/>
      <c r="AF19" s="42"/>
      <c r="AG19" s="27" t="str">
        <f>Budget!EV18</f>
        <v>Respite Care Services - Hour</v>
      </c>
      <c r="AH19" s="27" t="str">
        <f>Budget!EW18</f>
        <v>Transportation</v>
      </c>
      <c r="AI19" s="27" t="str">
        <f>Budget!EX18</f>
        <v>Respite Care Services - Camp</v>
      </c>
      <c r="AJ19" s="27" t="str">
        <f>Budget!EY18</f>
        <v>Respite Care Services - Day</v>
      </c>
      <c r="AK19" s="27" t="str">
        <f>Budget!EZ18</f>
        <v>Respite Care Services - Hour</v>
      </c>
      <c r="AL19" s="59" t="str">
        <f>Budget!FA18</f>
        <v>Transportation</v>
      </c>
      <c r="AN19" s="47" t="str">
        <f>Budget!FC18</f>
        <v/>
      </c>
      <c r="AO19" s="43" t="str">
        <f>Budget!FD18</f>
        <v/>
      </c>
      <c r="AP19" s="43">
        <f>Budget!FE18</f>
        <v>0</v>
      </c>
      <c r="AQ19" s="48" t="str">
        <f>Budget!FF18</f>
        <v/>
      </c>
      <c r="AR19" s="42"/>
      <c r="AS19" s="42"/>
      <c r="AT19" s="27">
        <f>Budget!FI18</f>
        <v>0</v>
      </c>
      <c r="AU19" s="93">
        <f>Budget!FJ18</f>
        <v>0</v>
      </c>
      <c r="AV19" s="93">
        <f>Budget!FK18</f>
        <v>0</v>
      </c>
      <c r="AW19" s="59">
        <f>Budget!FL18</f>
        <v>0</v>
      </c>
      <c r="AY19" s="47" t="str">
        <f>Budget!FN18</f>
        <v/>
      </c>
      <c r="AZ19" s="43" t="str">
        <f>Budget!FO18</f>
        <v/>
      </c>
      <c r="BA19" s="43">
        <f>Budget!FP18</f>
        <v>0</v>
      </c>
      <c r="BB19" s="48" t="str">
        <f>Budget!FQ18</f>
        <v/>
      </c>
      <c r="BC19" s="42"/>
      <c r="BD19" s="42"/>
      <c r="BE19" s="27">
        <f>Budget!FT18</f>
        <v>0</v>
      </c>
      <c r="BF19" s="59">
        <f>Budget!FU18</f>
        <v>0</v>
      </c>
      <c r="BH19" s="47" t="str">
        <f>IF(BI19="","",MAX(BH$3:BH18)+1)</f>
        <v/>
      </c>
      <c r="BI19" s="43" t="str">
        <f t="shared" si="0"/>
        <v/>
      </c>
      <c r="BJ19" s="43" t="str">
        <f>IF(AND(Budget!$E$12="Traditional",Budget!$A$12="Community Pathways Waiver"),BN19,"")</f>
        <v/>
      </c>
      <c r="BK19" s="48" t="str">
        <f t="shared" si="1"/>
        <v/>
      </c>
      <c r="BL19" s="42"/>
      <c r="BM19" s="42"/>
      <c r="BN19" s="59">
        <v>0</v>
      </c>
    </row>
    <row r="20" spans="2:66" ht="13.95" customHeight="1" thickBot="1">
      <c r="B20" s="209"/>
      <c r="D20" s="247" t="s">
        <v>235</v>
      </c>
      <c r="E20" s="106" t="s">
        <v>415</v>
      </c>
      <c r="F20" s="106" t="s">
        <v>284</v>
      </c>
      <c r="G20" s="121" t="s">
        <v>285</v>
      </c>
      <c r="H20" s="118" t="s">
        <v>233</v>
      </c>
      <c r="I20" s="283" t="s">
        <v>155</v>
      </c>
      <c r="J20" s="284" t="s">
        <v>405</v>
      </c>
      <c r="K20" s="118" t="s">
        <v>286</v>
      </c>
      <c r="L20" s="283" t="s">
        <v>155</v>
      </c>
      <c r="M20" s="284" t="s">
        <v>405</v>
      </c>
      <c r="N20" s="118" t="s">
        <v>286</v>
      </c>
      <c r="O20" s="77"/>
      <c r="P20" s="182" t="s">
        <v>290</v>
      </c>
      <c r="Q20" s="182" t="s">
        <v>289</v>
      </c>
      <c r="R20" s="114" t="str">
        <f>+U5</f>
        <v>FY 2024 Days</v>
      </c>
      <c r="S20" s="114" t="str">
        <f>+V5</f>
        <v>FY 2025 Days</v>
      </c>
      <c r="T20" s="256" t="str">
        <f>+P5</f>
        <v>FY 2024 Check</v>
      </c>
      <c r="U20" s="256" t="str">
        <f>+Q5</f>
        <v>FY 2025 Check</v>
      </c>
      <c r="V20" s="77"/>
      <c r="W20" s="77"/>
      <c r="X20" s="77"/>
      <c r="Y20" s="77"/>
      <c r="Z20" s="77"/>
      <c r="AA20" s="47" t="str">
        <f>Budget!EP19</f>
        <v/>
      </c>
      <c r="AB20" s="43" t="str">
        <f>Budget!EQ19</f>
        <v/>
      </c>
      <c r="AC20" s="43" t="str">
        <f>Budget!ER19</f>
        <v/>
      </c>
      <c r="AD20" s="48" t="str">
        <f>Budget!ES19</f>
        <v/>
      </c>
      <c r="AE20" s="42"/>
      <c r="AF20" s="42"/>
      <c r="AG20" s="99" t="str">
        <f>Budget!EV19</f>
        <v>Support Broker Services</v>
      </c>
      <c r="AH20" s="99" t="str">
        <f>Budget!EW19</f>
        <v>Vehicle Modification</v>
      </c>
      <c r="AI20" s="99" t="str">
        <f>Budget!EX19</f>
        <v>Respite Care Services - Day</v>
      </c>
      <c r="AJ20" s="99" t="str">
        <f>Budget!EY19</f>
        <v>Respite Care Services - Hour</v>
      </c>
      <c r="AK20" s="99" t="str">
        <f>Budget!EZ19</f>
        <v>Support Broker Services</v>
      </c>
      <c r="AL20" s="100" t="str">
        <f>Budget!FA19</f>
        <v>Vehicle Modification</v>
      </c>
      <c r="AN20" s="47" t="str">
        <f>Budget!FC19</f>
        <v/>
      </c>
      <c r="AO20" s="43" t="str">
        <f>Budget!FD19</f>
        <v/>
      </c>
      <c r="AP20" s="43">
        <f>Budget!FE19</f>
        <v>0</v>
      </c>
      <c r="AQ20" s="48" t="str">
        <f>Budget!FF19</f>
        <v/>
      </c>
      <c r="AR20" s="42"/>
      <c r="AS20" s="42"/>
      <c r="AT20" s="18">
        <f>Budget!FI19</f>
        <v>0</v>
      </c>
      <c r="AU20" s="94">
        <f>Budget!FJ19</f>
        <v>0</v>
      </c>
      <c r="AV20" s="94">
        <f>Budget!FK19</f>
        <v>0</v>
      </c>
      <c r="AW20" s="58">
        <f>Budget!FL19</f>
        <v>0</v>
      </c>
      <c r="AY20" s="47" t="str">
        <f>Budget!FN19</f>
        <v/>
      </c>
      <c r="AZ20" s="43" t="str">
        <f>Budget!FO19</f>
        <v/>
      </c>
      <c r="BA20" s="43">
        <f>Budget!FP19</f>
        <v>0</v>
      </c>
      <c r="BB20" s="48" t="str">
        <f>Budget!FQ19</f>
        <v/>
      </c>
      <c r="BC20" s="42"/>
      <c r="BD20" s="42"/>
      <c r="BE20" s="18">
        <f>Budget!FT19</f>
        <v>0</v>
      </c>
      <c r="BF20" s="58">
        <f>Budget!FU19</f>
        <v>0</v>
      </c>
      <c r="BH20" s="47" t="str">
        <f>IF(BI20="","",MAX(BH$3:BH19)+1)</f>
        <v/>
      </c>
      <c r="BI20" s="43" t="str">
        <f t="shared" si="0"/>
        <v/>
      </c>
      <c r="BJ20" s="43" t="str">
        <f>IF(AND(Budget!$E$12="Traditional",Budget!$A$12="Community Pathways Waiver"),BN20,"")</f>
        <v/>
      </c>
      <c r="BK20" s="48" t="str">
        <f t="shared" si="1"/>
        <v/>
      </c>
      <c r="BL20" s="42"/>
      <c r="BM20" s="42"/>
      <c r="BN20" s="58">
        <v>0</v>
      </c>
    </row>
    <row r="21" spans="2:66" ht="13.95" customHeight="1" thickBot="1">
      <c r="B21" s="209"/>
      <c r="D21" s="395" t="s">
        <v>137</v>
      </c>
      <c r="E21" s="393"/>
      <c r="F21" s="131"/>
      <c r="G21" s="132"/>
      <c r="H21" s="278"/>
      <c r="I21" s="189" t="str">
        <f t="shared" ref="I21:I27" si="7">IF(ISERROR(($H21/(J21+M21))),"",($H21/(J21+M21)))</f>
        <v/>
      </c>
      <c r="J21" s="137"/>
      <c r="K21" s="79">
        <f>IF(ISERROR((I21*J21)),0,(I21*J21))</f>
        <v>0</v>
      </c>
      <c r="L21" s="189" t="str">
        <f t="shared" ref="L21:L27" si="8">IF(ISERROR(($H21/(M21+J21))),"",($H21/(M21+J21)))</f>
        <v/>
      </c>
      <c r="M21" s="137"/>
      <c r="N21" s="90">
        <f>IF(ISERROR((L21*M21)),0,(L21*M21))</f>
        <v>0</v>
      </c>
      <c r="O21" s="77"/>
      <c r="P21" s="257">
        <f>IF(OR(F21="",G21=""),0,G21-F21+1)</f>
        <v>0</v>
      </c>
      <c r="Q21" s="185" t="str">
        <f>IF(J21+M21&gt;P21,"x","")</f>
        <v/>
      </c>
      <c r="R21" s="285">
        <f>IF(ISERROR(VLOOKUP(D21,Budget!$D$19:$R$25,9,FALSE)),0,(VLOOKUP(D21,Budget!$D$19:$R$25,9,FALSE)))</f>
        <v>260</v>
      </c>
      <c r="S21" s="285">
        <f>IF(ISERROR(VLOOKUP(D21,Budget!$D$19:$R$25,13,FALSE)),0,(VLOOKUP(D21,Budget!$D$19:$R$25,13,FALSE)))</f>
        <v>62</v>
      </c>
      <c r="T21" s="179" t="str">
        <f>IF(F21="","",IF(OR(F21&lt;Budget!$E$9,F21&gt;=Budget!$A$9),"x",""))</f>
        <v/>
      </c>
      <c r="U21" s="83" t="str">
        <f>IF(G21="","",IF(OR(G21&lt;Budget!$E$9,G21&gt;=Budget!$A$9),"x",""))</f>
        <v/>
      </c>
      <c r="V21" s="77"/>
      <c r="W21" s="77"/>
      <c r="X21" s="77"/>
      <c r="Y21" s="77"/>
      <c r="Z21" s="77"/>
      <c r="AA21" s="47" t="str">
        <f>Budget!EP20</f>
        <v/>
      </c>
      <c r="AB21" s="43" t="str">
        <f>Budget!EQ20</f>
        <v/>
      </c>
      <c r="AC21" s="43" t="str">
        <f>Budget!ER20</f>
        <v/>
      </c>
      <c r="AD21" s="48" t="str">
        <f>Budget!ES20</f>
        <v/>
      </c>
      <c r="AE21" s="42"/>
      <c r="AF21" s="42"/>
      <c r="AG21" s="27" t="str">
        <f>Budget!EV20</f>
        <v>Transportation</v>
      </c>
      <c r="AH21" s="27">
        <f>Budget!EW20</f>
        <v>0</v>
      </c>
      <c r="AI21" s="27" t="str">
        <f>Budget!EX20</f>
        <v>Respite Care Services - Hour</v>
      </c>
      <c r="AJ21" s="27" t="str">
        <f>Budget!EY20</f>
        <v>Transition Services</v>
      </c>
      <c r="AK21" s="27" t="str">
        <f>Budget!EZ20</f>
        <v>Transportation</v>
      </c>
      <c r="AL21" s="59">
        <f>Budget!FA20</f>
        <v>0</v>
      </c>
      <c r="AN21" s="47" t="str">
        <f>Budget!FC20</f>
        <v/>
      </c>
      <c r="AO21" s="43" t="str">
        <f>Budget!FD20</f>
        <v/>
      </c>
      <c r="AP21" s="43">
        <f>Budget!FE20</f>
        <v>0</v>
      </c>
      <c r="AQ21" s="48" t="str">
        <f>Budget!FF20</f>
        <v/>
      </c>
      <c r="AR21" s="42"/>
      <c r="AS21" s="42"/>
      <c r="AT21" s="27">
        <f>Budget!FI20</f>
        <v>0</v>
      </c>
      <c r="AU21" s="93">
        <f>Budget!FJ20</f>
        <v>0</v>
      </c>
      <c r="AV21" s="93">
        <f>Budget!FK20</f>
        <v>0</v>
      </c>
      <c r="AW21" s="59">
        <f>Budget!FL20</f>
        <v>0</v>
      </c>
      <c r="AY21" s="47" t="str">
        <f>Budget!FN20</f>
        <v/>
      </c>
      <c r="AZ21" s="43" t="str">
        <f>Budget!FO20</f>
        <v/>
      </c>
      <c r="BA21" s="43">
        <f>Budget!FP20</f>
        <v>0</v>
      </c>
      <c r="BB21" s="48" t="str">
        <f>Budget!FQ20</f>
        <v/>
      </c>
      <c r="BC21" s="42"/>
      <c r="BD21" s="42"/>
      <c r="BE21" s="27">
        <f>Budget!FT20</f>
        <v>0</v>
      </c>
      <c r="BF21" s="59">
        <f>Budget!FU20</f>
        <v>0</v>
      </c>
      <c r="BH21" s="47" t="str">
        <f>IF(BI21="","",MAX(BH$3:BH20)+1)</f>
        <v/>
      </c>
      <c r="BI21" s="43" t="str">
        <f t="shared" si="0"/>
        <v/>
      </c>
      <c r="BJ21" s="43" t="str">
        <f>IF(AND(Budget!$E$12="Traditional",Budget!$A$12="Community Pathways Waiver"),BN21,"")</f>
        <v/>
      </c>
      <c r="BK21" s="48" t="str">
        <f t="shared" si="1"/>
        <v/>
      </c>
      <c r="BL21" s="42"/>
      <c r="BM21" s="42"/>
      <c r="BN21" s="59">
        <v>0</v>
      </c>
    </row>
    <row r="22" spans="2:66" ht="13.95" customHeight="1">
      <c r="B22" s="209"/>
      <c r="D22" s="396"/>
      <c r="E22" s="276"/>
      <c r="F22" s="133"/>
      <c r="G22" s="134"/>
      <c r="H22" s="279"/>
      <c r="I22" s="190" t="str">
        <f t="shared" si="7"/>
        <v/>
      </c>
      <c r="J22" s="138"/>
      <c r="K22" s="79">
        <f t="shared" ref="K22:K29" si="9">IF(ISERROR((I22*J22)),0,(I22*J22))</f>
        <v>0</v>
      </c>
      <c r="L22" s="190" t="str">
        <f t="shared" si="8"/>
        <v/>
      </c>
      <c r="M22" s="138"/>
      <c r="N22" s="79">
        <f t="shared" ref="N22:N29" si="10">IF(ISERROR((L22*M22)),0,(L22*M22))</f>
        <v>0</v>
      </c>
      <c r="O22" s="77"/>
      <c r="P22" s="258">
        <f t="shared" ref="P22:P29" si="11">IF(OR(F22="",G22=""),0,G22-F22+1)</f>
        <v>0</v>
      </c>
      <c r="Q22" s="77" t="str">
        <f t="shared" ref="Q22:Q29" si="12">IF(J22+M22&gt;P22,"x","")</f>
        <v/>
      </c>
      <c r="R22" s="286">
        <f>IF(ISERROR(VLOOKUP(D22,Budget!$D$19:$R$25,9,FALSE)),0,(VLOOKUP(D22,Budget!$D$19:$R$25,9,FALSE)))</f>
        <v>0</v>
      </c>
      <c r="S22" s="286">
        <f>IF(ISERROR(VLOOKUP(D22,Budget!$D$19:$R$25,13,FALSE)),0,(VLOOKUP(D22,Budget!$D$19:$R$25,13,FALSE)))</f>
        <v>0</v>
      </c>
      <c r="T22" s="180" t="str">
        <f>IF(F22="","",IF(OR(F22&lt;Budget!$E$9,F22&gt;=Budget!$A$9),"x",""))</f>
        <v/>
      </c>
      <c r="U22" s="11" t="str">
        <f>IF(G22="","",IF(OR(G22&lt;Budget!$E$9,G22&gt;=Budget!$A$9),"x",""))</f>
        <v/>
      </c>
      <c r="V22" s="77"/>
      <c r="W22" s="77"/>
      <c r="X22" s="77"/>
      <c r="Y22" s="77"/>
      <c r="Z22" s="77"/>
      <c r="AA22" s="47" t="str">
        <f>Budget!EP21</f>
        <v/>
      </c>
      <c r="AB22" s="43" t="str">
        <f>Budget!EQ21</f>
        <v/>
      </c>
      <c r="AC22" s="43" t="str">
        <f>Budget!ER21</f>
        <v/>
      </c>
      <c r="AD22" s="48" t="str">
        <f>Budget!ES21</f>
        <v/>
      </c>
      <c r="AE22" s="42"/>
      <c r="AF22" s="42"/>
      <c r="AG22" s="99" t="str">
        <f>Budget!EV21</f>
        <v>Vehicle Modification</v>
      </c>
      <c r="AH22" s="99">
        <f>Budget!EW21</f>
        <v>0</v>
      </c>
      <c r="AI22" s="99" t="str">
        <f>Budget!EX21</f>
        <v>Support Broker Services</v>
      </c>
      <c r="AJ22" s="99" t="str">
        <f>Budget!EY21</f>
        <v>Transportation</v>
      </c>
      <c r="AK22" s="99" t="str">
        <f>Budget!EZ21</f>
        <v>Vehicle Modification</v>
      </c>
      <c r="AL22" s="100">
        <f>Budget!FA21</f>
        <v>0</v>
      </c>
      <c r="AN22" s="47" t="str">
        <f>Budget!FC21</f>
        <v/>
      </c>
      <c r="AO22" s="43" t="str">
        <f>Budget!FD21</f>
        <v/>
      </c>
      <c r="AP22" s="43">
        <f>Budget!FE21</f>
        <v>0</v>
      </c>
      <c r="AQ22" s="48" t="str">
        <f>Budget!FF21</f>
        <v/>
      </c>
      <c r="AR22" s="42"/>
      <c r="AS22" s="42"/>
      <c r="AT22" s="18">
        <f>Budget!FI21</f>
        <v>0</v>
      </c>
      <c r="AU22" s="94">
        <f>Budget!FJ21</f>
        <v>0</v>
      </c>
      <c r="AV22" s="94">
        <f>Budget!FK21</f>
        <v>0</v>
      </c>
      <c r="AW22" s="58">
        <f>Budget!FL21</f>
        <v>0</v>
      </c>
      <c r="AY22" s="47" t="str">
        <f>Budget!FN21</f>
        <v/>
      </c>
      <c r="AZ22" s="43" t="str">
        <f>Budget!FO21</f>
        <v/>
      </c>
      <c r="BA22" s="43">
        <f>Budget!FP21</f>
        <v>0</v>
      </c>
      <c r="BB22" s="48" t="str">
        <f>Budget!FQ21</f>
        <v/>
      </c>
      <c r="BC22" s="42"/>
      <c r="BD22" s="42"/>
      <c r="BE22" s="18">
        <f>Budget!FT21</f>
        <v>0</v>
      </c>
      <c r="BF22" s="58">
        <f>Budget!FU21</f>
        <v>0</v>
      </c>
      <c r="BH22" s="47" t="str">
        <f>IF(BI22="","",MAX(BH$3:BH21)+1)</f>
        <v/>
      </c>
      <c r="BI22" s="43" t="str">
        <f t="shared" si="0"/>
        <v/>
      </c>
      <c r="BJ22" s="43" t="str">
        <f>IF(AND(Budget!$E$12="Traditional",Budget!$A$12="Community Pathways Waiver"),BN22,"")</f>
        <v/>
      </c>
      <c r="BK22" s="48" t="str">
        <f t="shared" si="1"/>
        <v/>
      </c>
      <c r="BL22" s="42"/>
      <c r="BM22" s="42"/>
      <c r="BN22" s="58">
        <v>0</v>
      </c>
    </row>
    <row r="23" spans="2:66" ht="13.95" customHeight="1" thickBot="1">
      <c r="D23" s="396"/>
      <c r="E23" s="276"/>
      <c r="F23" s="133"/>
      <c r="G23" s="134"/>
      <c r="H23" s="279"/>
      <c r="I23" s="190" t="str">
        <f t="shared" si="7"/>
        <v/>
      </c>
      <c r="J23" s="138"/>
      <c r="K23" s="79">
        <f t="shared" si="9"/>
        <v>0</v>
      </c>
      <c r="L23" s="190" t="str">
        <f t="shared" si="8"/>
        <v/>
      </c>
      <c r="M23" s="138"/>
      <c r="N23" s="79">
        <f t="shared" si="10"/>
        <v>0</v>
      </c>
      <c r="O23" s="77"/>
      <c r="P23" s="258">
        <f t="shared" si="11"/>
        <v>0</v>
      </c>
      <c r="Q23" s="77" t="str">
        <f t="shared" si="12"/>
        <v/>
      </c>
      <c r="R23" s="286">
        <f>IF(ISERROR(VLOOKUP(D23,Budget!$D$19:$R$25,9,FALSE)),0,(VLOOKUP(D23,Budget!$D$19:$R$25,9,FALSE)))</f>
        <v>0</v>
      </c>
      <c r="S23" s="286">
        <f>IF(ISERROR(VLOOKUP(D23,Budget!$D$19:$R$25,13,FALSE)),0,(VLOOKUP(D23,Budget!$D$19:$R$25,13,FALSE)))</f>
        <v>0</v>
      </c>
      <c r="T23" s="180" t="str">
        <f>IF(F23="","",IF(OR(F23&lt;Budget!$E$9,F23&gt;=Budget!$A$9),"x",""))</f>
        <v/>
      </c>
      <c r="U23" s="11" t="str">
        <f>IF(G23="","",IF(OR(G23&lt;Budget!$E$9,G23&gt;=Budget!$A$9),"x",""))</f>
        <v/>
      </c>
      <c r="V23" s="77"/>
      <c r="W23" s="77"/>
      <c r="X23" s="77"/>
      <c r="Y23" s="77"/>
      <c r="Z23" s="77"/>
      <c r="AA23" s="47" t="str">
        <f>Budget!EP22</f>
        <v/>
      </c>
      <c r="AB23" s="43" t="str">
        <f>Budget!EQ22</f>
        <v/>
      </c>
      <c r="AC23" s="43" t="str">
        <f>Budget!ER22</f>
        <v/>
      </c>
      <c r="AD23" s="48" t="str">
        <f>Budget!ES22</f>
        <v/>
      </c>
      <c r="AE23" s="42"/>
      <c r="AF23" s="42"/>
      <c r="AG23" s="27">
        <f>Budget!EV22</f>
        <v>0</v>
      </c>
      <c r="AH23" s="27">
        <f>Budget!EW22</f>
        <v>0</v>
      </c>
      <c r="AI23" s="27" t="str">
        <f>Budget!EX22</f>
        <v>Transition Services</v>
      </c>
      <c r="AJ23" s="27" t="str">
        <f>Budget!EY22</f>
        <v>Vehicle Modification</v>
      </c>
      <c r="AK23" s="27">
        <f>Budget!EZ22</f>
        <v>0</v>
      </c>
      <c r="AL23" s="59">
        <f>Budget!FA22</f>
        <v>0</v>
      </c>
      <c r="AN23" s="47" t="str">
        <f>Budget!FC22</f>
        <v/>
      </c>
      <c r="AO23" s="43" t="str">
        <f>Budget!FD22</f>
        <v/>
      </c>
      <c r="AP23" s="43">
        <f>Budget!FE22</f>
        <v>0</v>
      </c>
      <c r="AQ23" s="48" t="str">
        <f>Budget!FF22</f>
        <v/>
      </c>
      <c r="AR23" s="42"/>
      <c r="AS23" s="42"/>
      <c r="AT23" s="27">
        <f>Budget!FI22</f>
        <v>0</v>
      </c>
      <c r="AU23" s="93">
        <f>Budget!FJ22</f>
        <v>0</v>
      </c>
      <c r="AV23" s="93">
        <f>Budget!FK22</f>
        <v>0</v>
      </c>
      <c r="AW23" s="59">
        <f>Budget!FL22</f>
        <v>0</v>
      </c>
      <c r="AY23" s="47" t="str">
        <f>Budget!FN22</f>
        <v/>
      </c>
      <c r="AZ23" s="43" t="str">
        <f>Budget!FO22</f>
        <v/>
      </c>
      <c r="BA23" s="43">
        <f>Budget!FP22</f>
        <v>0</v>
      </c>
      <c r="BB23" s="48" t="str">
        <f>Budget!FQ22</f>
        <v/>
      </c>
      <c r="BC23" s="42"/>
      <c r="BD23" s="42"/>
      <c r="BE23" s="27">
        <f>Budget!FT22</f>
        <v>0</v>
      </c>
      <c r="BF23" s="59">
        <f>Budget!FU22</f>
        <v>0</v>
      </c>
      <c r="BH23" s="47" t="str">
        <f>IF(BI23="","",MAX(BH$3:BH22)+1)</f>
        <v/>
      </c>
      <c r="BI23" s="43" t="str">
        <f t="shared" si="0"/>
        <v/>
      </c>
      <c r="BJ23" s="43" t="str">
        <f>IF(AND(Budget!$E$12="Traditional",Budget!$A$12="Community Pathways Waiver"),BN23,"")</f>
        <v/>
      </c>
      <c r="BK23" s="48" t="str">
        <f t="shared" si="1"/>
        <v/>
      </c>
      <c r="BL23" s="42"/>
      <c r="BM23" s="42"/>
      <c r="BN23" s="59">
        <v>0</v>
      </c>
    </row>
    <row r="24" spans="2:66" ht="13.95" customHeight="1" thickBot="1">
      <c r="D24" s="396"/>
      <c r="E24" s="276"/>
      <c r="F24" s="133"/>
      <c r="G24" s="134"/>
      <c r="H24" s="279"/>
      <c r="I24" s="190" t="str">
        <f t="shared" si="7"/>
        <v/>
      </c>
      <c r="J24" s="138"/>
      <c r="K24" s="79">
        <f t="shared" si="9"/>
        <v>0</v>
      </c>
      <c r="L24" s="190" t="str">
        <f t="shared" si="8"/>
        <v/>
      </c>
      <c r="M24" s="138"/>
      <c r="N24" s="79">
        <f t="shared" si="10"/>
        <v>0</v>
      </c>
      <c r="O24" s="77"/>
      <c r="P24" s="258">
        <f t="shared" si="11"/>
        <v>0</v>
      </c>
      <c r="Q24" s="77" t="str">
        <f t="shared" si="12"/>
        <v/>
      </c>
      <c r="R24" s="286">
        <f>IF(ISERROR(VLOOKUP(D24,Budget!$D$19:$R$25,9,FALSE)),0,(VLOOKUP(D24,Budget!$D$19:$R$25,9,FALSE)))</f>
        <v>0</v>
      </c>
      <c r="S24" s="286">
        <f>IF(ISERROR(VLOOKUP(D24,Budget!$D$19:$R$25,13,FALSE)),0,(VLOOKUP(D24,Budget!$D$19:$R$25,13,FALSE)))</f>
        <v>0</v>
      </c>
      <c r="T24" s="180" t="str">
        <f>IF(F24="","",IF(OR(F24&lt;Budget!$E$9,F24&gt;=Budget!$A$9),"x",""))</f>
        <v/>
      </c>
      <c r="U24" s="11" t="str">
        <f>IF(G24="","",IF(OR(G24&lt;Budget!$E$9,G24&gt;=Budget!$A$9),"x",""))</f>
        <v/>
      </c>
      <c r="V24" s="77"/>
      <c r="W24" s="77"/>
      <c r="X24" s="77"/>
      <c r="Y24" s="77"/>
      <c r="Z24" s="77"/>
      <c r="AA24" s="47" t="str">
        <f>Budget!EP23</f>
        <v/>
      </c>
      <c r="AB24" s="43" t="str">
        <f>Budget!EQ23</f>
        <v/>
      </c>
      <c r="AC24" s="43" t="str">
        <f>Budget!ER23</f>
        <v/>
      </c>
      <c r="AD24" s="48" t="str">
        <f>Budget!ES23</f>
        <v/>
      </c>
      <c r="AE24" s="42"/>
      <c r="AF24" s="42"/>
      <c r="AG24" s="99">
        <f>Budget!EV23</f>
        <v>0</v>
      </c>
      <c r="AH24" s="99">
        <f>Budget!EW23</f>
        <v>0</v>
      </c>
      <c r="AI24" s="99" t="str">
        <f>Budget!EX23</f>
        <v>Transportation</v>
      </c>
      <c r="AJ24" s="99" t="str">
        <f>Budget!EY23</f>
        <v>Other (State-Only Funded)</v>
      </c>
      <c r="AK24" s="99">
        <f>Budget!EZ23</f>
        <v>0</v>
      </c>
      <c r="AL24" s="100">
        <f>Budget!FA23</f>
        <v>0</v>
      </c>
      <c r="AN24" s="49" t="str">
        <f>Budget!FC23</f>
        <v/>
      </c>
      <c r="AO24" s="50" t="str">
        <f>Budget!FD23</f>
        <v/>
      </c>
      <c r="AP24" s="50">
        <f>Budget!FE23</f>
        <v>0</v>
      </c>
      <c r="AQ24" s="51" t="str">
        <f>Budget!FF23</f>
        <v/>
      </c>
      <c r="AR24" s="42"/>
      <c r="AS24" s="42"/>
      <c r="AT24" s="60">
        <f>Budget!FI23</f>
        <v>0</v>
      </c>
      <c r="AU24" s="95">
        <f>Budget!FJ23</f>
        <v>0</v>
      </c>
      <c r="AV24" s="95">
        <f>Budget!FK23</f>
        <v>0</v>
      </c>
      <c r="AW24" s="61">
        <f>Budget!FL23</f>
        <v>0</v>
      </c>
      <c r="AY24" s="49" t="str">
        <f>Budget!FN23</f>
        <v/>
      </c>
      <c r="AZ24" s="50" t="str">
        <f>Budget!FO23</f>
        <v/>
      </c>
      <c r="BA24" s="50">
        <f>Budget!FP23</f>
        <v>0</v>
      </c>
      <c r="BB24" s="51" t="str">
        <f>Budget!FQ23</f>
        <v/>
      </c>
      <c r="BC24" s="42"/>
      <c r="BD24" s="42"/>
      <c r="BE24" s="60">
        <f>Budget!FT23</f>
        <v>0</v>
      </c>
      <c r="BF24" s="61">
        <f>Budget!FU23</f>
        <v>0</v>
      </c>
      <c r="BH24" s="49" t="str">
        <f>IF(BI24="","",MAX(BH$3:BH23)+1)</f>
        <v/>
      </c>
      <c r="BI24" s="50" t="str">
        <f t="shared" si="0"/>
        <v/>
      </c>
      <c r="BJ24" s="50" t="str">
        <f>IF(AND(Budget!$E$12="Traditional",Budget!$A$12="Community Pathways Waiver"),BN24,"")</f>
        <v/>
      </c>
      <c r="BK24" s="51" t="str">
        <f t="shared" si="1"/>
        <v/>
      </c>
      <c r="BL24" s="42"/>
      <c r="BM24" s="42"/>
      <c r="BN24" s="61">
        <v>0</v>
      </c>
    </row>
    <row r="25" spans="2:66" ht="13.95" customHeight="1" thickBot="1">
      <c r="D25" s="396"/>
      <c r="E25" s="276"/>
      <c r="F25" s="133"/>
      <c r="G25" s="134"/>
      <c r="H25" s="279"/>
      <c r="I25" s="190" t="str">
        <f t="shared" si="7"/>
        <v/>
      </c>
      <c r="J25" s="138"/>
      <c r="K25" s="79">
        <f t="shared" si="9"/>
        <v>0</v>
      </c>
      <c r="L25" s="190" t="str">
        <f t="shared" si="8"/>
        <v/>
      </c>
      <c r="M25" s="138"/>
      <c r="N25" s="79">
        <f t="shared" si="10"/>
        <v>0</v>
      </c>
      <c r="O25" s="77"/>
      <c r="P25" s="258">
        <f t="shared" si="11"/>
        <v>0</v>
      </c>
      <c r="Q25" s="77" t="str">
        <f t="shared" si="12"/>
        <v/>
      </c>
      <c r="R25" s="286">
        <f>IF(ISERROR(VLOOKUP(D25,Budget!$D$19:$R$25,9,FALSE)),0,(VLOOKUP(D25,Budget!$D$19:$R$25,9,FALSE)))</f>
        <v>0</v>
      </c>
      <c r="S25" s="286">
        <f>IF(ISERROR(VLOOKUP(D25,Budget!$D$19:$R$25,13,FALSE)),0,(VLOOKUP(D25,Budget!$D$19:$R$25,13,FALSE)))</f>
        <v>0</v>
      </c>
      <c r="T25" s="180" t="str">
        <f>IF(F25="","",IF(OR(F25&lt;Budget!$E$9,F25&gt;=Budget!$A$9),"x",""))</f>
        <v/>
      </c>
      <c r="U25" s="11" t="str">
        <f>IF(G25="","",IF(OR(G25&lt;Budget!$E$9,G25&gt;=Budget!$A$9),"x",""))</f>
        <v/>
      </c>
      <c r="V25" s="77"/>
      <c r="W25" s="77"/>
      <c r="X25" s="77"/>
      <c r="Y25" s="77"/>
      <c r="Z25" s="77"/>
      <c r="AA25" s="47" t="str">
        <f>Budget!EP24</f>
        <v/>
      </c>
      <c r="AB25" s="43" t="str">
        <f>Budget!EQ24</f>
        <v/>
      </c>
      <c r="AC25" s="43" t="str">
        <f>Budget!ER24</f>
        <v/>
      </c>
      <c r="AD25" s="48" t="str">
        <f>Budget!ES24</f>
        <v/>
      </c>
      <c r="AG25" s="27">
        <f>Budget!EV24</f>
        <v>0</v>
      </c>
      <c r="AH25" s="27">
        <f>Budget!EW24</f>
        <v>0</v>
      </c>
      <c r="AI25" s="27" t="str">
        <f>Budget!EX24</f>
        <v>Vehicle Modification</v>
      </c>
      <c r="AJ25" s="27" t="str">
        <f>Budget!EY24</f>
        <v>Rent - Individual Support (State-Only Funded)</v>
      </c>
      <c r="AK25" s="27">
        <f>Budget!EZ24</f>
        <v>0</v>
      </c>
      <c r="AL25" s="59">
        <f>Budget!FA24</f>
        <v>0</v>
      </c>
    </row>
    <row r="26" spans="2:66" ht="13.95" customHeight="1">
      <c r="D26" s="396"/>
      <c r="E26" s="276"/>
      <c r="F26" s="133"/>
      <c r="G26" s="134"/>
      <c r="H26" s="279"/>
      <c r="I26" s="190" t="str">
        <f t="shared" si="7"/>
        <v/>
      </c>
      <c r="J26" s="138"/>
      <c r="K26" s="79">
        <f t="shared" si="9"/>
        <v>0</v>
      </c>
      <c r="L26" s="190" t="str">
        <f t="shared" si="8"/>
        <v/>
      </c>
      <c r="M26" s="138"/>
      <c r="N26" s="79">
        <f t="shared" si="10"/>
        <v>0</v>
      </c>
      <c r="O26" s="77"/>
      <c r="P26" s="258">
        <f t="shared" si="11"/>
        <v>0</v>
      </c>
      <c r="Q26" s="77" t="str">
        <f t="shared" si="12"/>
        <v/>
      </c>
      <c r="R26" s="286">
        <f>IF(ISERROR(VLOOKUP(D26,Budget!$D$19:$R$25,9,FALSE)),0,(VLOOKUP(D26,Budget!$D$19:$R$25,9,FALSE)))</f>
        <v>0</v>
      </c>
      <c r="S26" s="286">
        <f>IF(ISERROR(VLOOKUP(D26,Budget!$D$19:$R$25,13,FALSE)),0,(VLOOKUP(D26,Budget!$D$19:$R$25,13,FALSE)))</f>
        <v>0</v>
      </c>
      <c r="T26" s="180" t="str">
        <f>IF(F26="","",IF(OR(F26&lt;Budget!$E$9,F26&gt;=Budget!$A$9),"x",""))</f>
        <v/>
      </c>
      <c r="U26" s="11" t="str">
        <f>IF(G26="","",IF(OR(G26&lt;Budget!$E$9,G26&gt;=Budget!$A$9),"x",""))</f>
        <v/>
      </c>
      <c r="V26" s="77"/>
      <c r="W26" s="77"/>
      <c r="X26" s="77"/>
      <c r="Y26" s="77"/>
      <c r="Z26" s="77"/>
      <c r="AA26" s="47" t="str">
        <f>Budget!EP25</f>
        <v/>
      </c>
      <c r="AB26" s="43" t="str">
        <f>Budget!EQ25</f>
        <v/>
      </c>
      <c r="AC26" s="43" t="str">
        <f>Budget!ER25</f>
        <v/>
      </c>
      <c r="AD26" s="48" t="str">
        <f>Budget!ES25</f>
        <v/>
      </c>
      <c r="AG26" s="99">
        <f>Budget!EV25</f>
        <v>0</v>
      </c>
      <c r="AH26" s="99">
        <f>Budget!EW25</f>
        <v>0</v>
      </c>
      <c r="AI26" s="99">
        <f>Budget!EX25</f>
        <v>0</v>
      </c>
      <c r="AJ26" s="99" t="str">
        <f>Budget!EY25</f>
        <v>Skilled Nursing (State-Only Funded)</v>
      </c>
      <c r="AK26" s="99">
        <f>Budget!EZ25</f>
        <v>0</v>
      </c>
      <c r="AL26" s="100">
        <f>Budget!FA25</f>
        <v>0</v>
      </c>
    </row>
    <row r="27" spans="2:66" ht="13.2" customHeight="1" thickBot="1">
      <c r="D27" s="396"/>
      <c r="E27" s="276"/>
      <c r="F27" s="133"/>
      <c r="G27" s="134"/>
      <c r="H27" s="279"/>
      <c r="I27" s="190" t="str">
        <f t="shared" si="7"/>
        <v/>
      </c>
      <c r="J27" s="138"/>
      <c r="K27" s="79">
        <f t="shared" si="9"/>
        <v>0</v>
      </c>
      <c r="L27" s="190" t="str">
        <f t="shared" si="8"/>
        <v/>
      </c>
      <c r="M27" s="138"/>
      <c r="N27" s="79">
        <f t="shared" si="10"/>
        <v>0</v>
      </c>
      <c r="O27" s="77"/>
      <c r="P27" s="258">
        <f t="shared" si="11"/>
        <v>0</v>
      </c>
      <c r="Q27" s="77" t="str">
        <f t="shared" si="12"/>
        <v/>
      </c>
      <c r="R27" s="286">
        <f>IF(ISERROR(VLOOKUP(D27,Budget!$D$19:$R$25,9,FALSE)),0,(VLOOKUP(D27,Budget!$D$19:$R$25,9,FALSE)))</f>
        <v>0</v>
      </c>
      <c r="S27" s="286">
        <f>IF(ISERROR(VLOOKUP(D27,Budget!$D$19:$R$25,13,FALSE)),0,(VLOOKUP(D27,Budget!$D$19:$R$25,13,FALSE)))</f>
        <v>0</v>
      </c>
      <c r="T27" s="180" t="str">
        <f>IF(F27="","",IF(OR(F27&lt;Budget!$E$9,F27&gt;=Budget!$A$9),"x",""))</f>
        <v/>
      </c>
      <c r="U27" s="11" t="str">
        <f>IF(G27="","",IF(OR(G27&lt;Budget!$E$9,G27&gt;=Budget!$A$9),"x",""))</f>
        <v/>
      </c>
      <c r="V27" s="77"/>
      <c r="W27" s="77"/>
      <c r="X27" s="77"/>
      <c r="Y27" s="77"/>
      <c r="Z27" s="77"/>
      <c r="AA27" s="47" t="str">
        <f>Budget!EP26</f>
        <v/>
      </c>
      <c r="AB27" s="43" t="str">
        <f>Budget!EQ26</f>
        <v/>
      </c>
      <c r="AC27" s="43" t="str">
        <f>Budget!ER26</f>
        <v/>
      </c>
      <c r="AD27" s="48" t="str">
        <f>Budget!ES26</f>
        <v/>
      </c>
      <c r="AG27" s="27">
        <f>Budget!EV26</f>
        <v>0</v>
      </c>
      <c r="AH27" s="27">
        <f>Budget!EW26</f>
        <v>0</v>
      </c>
      <c r="AI27" s="27">
        <f>Budget!EX26</f>
        <v>0</v>
      </c>
      <c r="AJ27" s="27" t="str">
        <f>Budget!EY26</f>
        <v>Camp - Non-Respite (State-Only Funded)</v>
      </c>
      <c r="AK27" s="27">
        <f>Budget!EZ26</f>
        <v>0</v>
      </c>
      <c r="AL27" s="59">
        <f>Budget!FA26</f>
        <v>0</v>
      </c>
    </row>
    <row r="28" spans="2:66" ht="13.2" customHeight="1">
      <c r="D28" s="396"/>
      <c r="E28" s="276"/>
      <c r="F28" s="133"/>
      <c r="G28" s="134"/>
      <c r="H28" s="279"/>
      <c r="I28" s="190" t="str">
        <f>IF(ISERROR(($H28/(J28+M28))),"",($H28/(J28+M28)))</f>
        <v/>
      </c>
      <c r="J28" s="138"/>
      <c r="K28" s="79">
        <f t="shared" si="9"/>
        <v>0</v>
      </c>
      <c r="L28" s="190" t="str">
        <f>IF(ISERROR(($H28/(M28+J28))),"",($H28/(M28+J28)))</f>
        <v/>
      </c>
      <c r="M28" s="138"/>
      <c r="N28" s="79">
        <f t="shared" si="10"/>
        <v>0</v>
      </c>
      <c r="O28" s="77"/>
      <c r="P28" s="258">
        <f t="shared" si="11"/>
        <v>0</v>
      </c>
      <c r="Q28" s="77" t="str">
        <f t="shared" si="12"/>
        <v/>
      </c>
      <c r="R28" s="286">
        <f>IF(ISERROR(VLOOKUP(D28,Budget!$D$19:$R$25,9,FALSE)),0,(VLOOKUP(D28,Budget!$D$19:$R$25,9,FALSE)))</f>
        <v>0</v>
      </c>
      <c r="S28" s="286">
        <f>IF(ISERROR(VLOOKUP(D28,Budget!$D$19:$R$25,13,FALSE)),0,(VLOOKUP(D28,Budget!$D$19:$R$25,13,FALSE)))</f>
        <v>0</v>
      </c>
      <c r="T28" s="180" t="str">
        <f>IF(F28="","",IF(OR(F28&lt;Budget!$E$9,F28&gt;=Budget!$A$9),"x",""))</f>
        <v/>
      </c>
      <c r="U28" s="11" t="str">
        <f>IF(G28="","",IF(OR(G28&lt;Budget!$E$9,G28&gt;=Budget!$A$9),"x",""))</f>
        <v/>
      </c>
      <c r="V28" s="77"/>
      <c r="W28" s="77"/>
      <c r="X28" s="77"/>
      <c r="Y28" s="77"/>
      <c r="Z28" s="77"/>
      <c r="AA28" s="47" t="str">
        <f>Budget!EP27</f>
        <v/>
      </c>
      <c r="AB28" s="43" t="str">
        <f>Budget!EQ27</f>
        <v/>
      </c>
      <c r="AC28" s="43" t="str">
        <f>Budget!ER27</f>
        <v/>
      </c>
      <c r="AD28" s="48" t="str">
        <f>Budget!ES27</f>
        <v/>
      </c>
      <c r="AG28" s="99">
        <f>Budget!EV27</f>
        <v>0</v>
      </c>
      <c r="AH28" s="99">
        <f>Budget!EW27</f>
        <v>0</v>
      </c>
      <c r="AI28" s="99">
        <f>Budget!EX27</f>
        <v>0</v>
      </c>
      <c r="AJ28" s="99">
        <f>Budget!EY27</f>
        <v>0</v>
      </c>
      <c r="AK28" s="99">
        <f>Budget!EZ27</f>
        <v>0</v>
      </c>
      <c r="AL28" s="100">
        <f>Budget!FA27</f>
        <v>0</v>
      </c>
    </row>
    <row r="29" spans="2:66" ht="15" thickBot="1">
      <c r="D29" s="397"/>
      <c r="E29" s="394"/>
      <c r="F29" s="135"/>
      <c r="G29" s="136"/>
      <c r="H29" s="280"/>
      <c r="I29" s="191" t="str">
        <f>IF(ISERROR(($H29/(J29+M29))),"",($H29/(J29+M29)))</f>
        <v/>
      </c>
      <c r="J29" s="139"/>
      <c r="K29" s="80">
        <f t="shared" si="9"/>
        <v>0</v>
      </c>
      <c r="L29" s="191" t="str">
        <f>IF(ISERROR(($H29/(M29+J29))),"",($H29/(M29+J29)))</f>
        <v/>
      </c>
      <c r="M29" s="139"/>
      <c r="N29" s="80">
        <f t="shared" si="10"/>
        <v>0</v>
      </c>
      <c r="O29" s="77"/>
      <c r="P29" s="259">
        <f t="shared" si="11"/>
        <v>0</v>
      </c>
      <c r="Q29" s="188" t="str">
        <f t="shared" si="12"/>
        <v/>
      </c>
      <c r="R29" s="287">
        <f>IF(ISERROR(VLOOKUP(D29,Budget!$D$19:$R$25,9,FALSE)),0,(VLOOKUP(D29,Budget!$D$19:$R$25,9,FALSE)))</f>
        <v>0</v>
      </c>
      <c r="S29" s="287">
        <f>IF(ISERROR(VLOOKUP(D29,Budget!$D$19:$R$25,13,FALSE)),0,(VLOOKUP(D29,Budget!$D$19:$R$25,13,FALSE)))</f>
        <v>0</v>
      </c>
      <c r="T29" s="181" t="str">
        <f>IF(F29="","",IF(OR(F29&lt;Budget!$E$9,F29&gt;=Budget!$A$9),"x",""))</f>
        <v/>
      </c>
      <c r="U29" s="12" t="str">
        <f>IF(G29="","",IF(OR(G29&lt;Budget!$E$9,G29&gt;=Budget!$A$9),"x",""))</f>
        <v/>
      </c>
      <c r="V29" s="77"/>
      <c r="W29" s="77"/>
      <c r="X29" s="77"/>
      <c r="Y29" s="77"/>
      <c r="Z29" s="77"/>
    </row>
    <row r="30" spans="2:66" ht="15" thickBot="1">
      <c r="J30" s="117" t="str">
        <f>+$K$15</f>
        <v>FY 24 Total</v>
      </c>
      <c r="K30" s="82">
        <f>SUM(K21:K29)</f>
        <v>0</v>
      </c>
      <c r="M30" s="117" t="str">
        <f>+$N$15</f>
        <v>FY 25 Total</v>
      </c>
      <c r="N30" s="82">
        <f>SUM(N21:N29)</f>
        <v>0</v>
      </c>
    </row>
    <row r="32" spans="2:66" ht="18.600000000000001" thickBot="1">
      <c r="D32" s="4" t="s">
        <v>387</v>
      </c>
      <c r="E32" s="4"/>
      <c r="H32" s="76" t="str">
        <f>IF(AND(P36="x",Q36="x"),"FY18 Dates ("&amp;TEXT(F36,"MM/DD/YY")&amp;" - 6/30/2018)",IF(AND(P36="x",Q36=""),"FY18 Dates ("&amp;TEXT(F36,"MM/DD/YY")&amp;" - "&amp;TEXT(G36,"MM/DD/YY")&amp;")",""))</f>
        <v/>
      </c>
      <c r="I32" s="75"/>
      <c r="J32" s="32" t="str">
        <f>IF(AND(P36="x",Q36="x"),"FY19 Dates (7/1/2018 - "&amp;TEXT(F36,"MM/DD/YY")&amp;")",IF(AND(P36="",Q36="x"),"FY19 Dates ("&amp;TEXT(F36,"MM/DD/YY")&amp;" - "&amp;TEXT(G36,"MM/DD/YY")&amp;")",""))</f>
        <v/>
      </c>
      <c r="K32" s="32"/>
      <c r="L32" s="32"/>
      <c r="M32" s="32"/>
    </row>
    <row r="33" spans="4:69" ht="15" thickBot="1">
      <c r="AB33" s="238" t="s">
        <v>415</v>
      </c>
    </row>
    <row r="34" spans="4:69" ht="15" thickBot="1">
      <c r="F34" s="624" t="s">
        <v>376</v>
      </c>
      <c r="I34" s="726" t="str">
        <f>+$J$4</f>
        <v>FY 2024 Totals</v>
      </c>
      <c r="J34" s="727"/>
      <c r="K34" s="683" t="str">
        <f>+$L$4</f>
        <v>0 Days</v>
      </c>
      <c r="L34" s="726" t="str">
        <f>+$M$4</f>
        <v>FY 2025 Totals</v>
      </c>
      <c r="M34" s="727"/>
      <c r="N34" s="683" t="str">
        <f>+$O$4</f>
        <v>0 Days</v>
      </c>
      <c r="AB34" s="242" t="s">
        <v>416</v>
      </c>
    </row>
    <row r="35" spans="4:69" ht="15" thickBot="1">
      <c r="D35" s="247" t="s">
        <v>235</v>
      </c>
      <c r="E35" s="106" t="s">
        <v>415</v>
      </c>
      <c r="F35" s="106" t="s">
        <v>284</v>
      </c>
      <c r="G35" s="121" t="s">
        <v>285</v>
      </c>
      <c r="H35" s="248" t="s">
        <v>288</v>
      </c>
      <c r="I35" s="106" t="s">
        <v>155</v>
      </c>
      <c r="J35" s="119" t="s">
        <v>405</v>
      </c>
      <c r="K35" s="120" t="s">
        <v>286</v>
      </c>
      <c r="L35" s="106" t="s">
        <v>155</v>
      </c>
      <c r="M35" s="119" t="s">
        <v>405</v>
      </c>
      <c r="N35" s="120" t="s">
        <v>196</v>
      </c>
      <c r="P35" s="114" t="str">
        <f>+P5</f>
        <v>FY 2024 Check</v>
      </c>
      <c r="Q35" s="114" t="str">
        <f>+Q5</f>
        <v>FY 2025 Check</v>
      </c>
      <c r="R35" s="114" t="s">
        <v>183</v>
      </c>
      <c r="S35" s="10" t="s">
        <v>289</v>
      </c>
      <c r="T35" s="114" t="str">
        <f>+U5</f>
        <v>FY 2024 Days</v>
      </c>
      <c r="U35" s="114" t="str">
        <f>+V5</f>
        <v>FY 2025 Days</v>
      </c>
      <c r="V35" s="87"/>
      <c r="AB35" s="242" t="s">
        <v>417</v>
      </c>
    </row>
    <row r="36" spans="4:69">
      <c r="D36" s="395" t="s">
        <v>314</v>
      </c>
      <c r="E36" s="393"/>
      <c r="F36" s="131"/>
      <c r="G36" s="132"/>
      <c r="H36" s="296"/>
      <c r="I36" s="299" t="str">
        <f>IF(ISERROR(ROUND(IF(ISERROR(((VLOOKUP(CONCATENATE(VLOOKUP(D36,Budget!$D$64:$K$70,6,FALSE),'Add-On Tool'!$F$34),Budget!$EH$5:$EO$52,6,FALSE))*($H36*($B$3))/$B$2)),"",((VLOOKUP(CONCATENATE(VLOOKUP(D36,Budget!$D$64:$K$70,6,FALSE),'Add-On Tool'!$F$34),Budget!$EH$5:$EO$52,6,FALSE))*($H36*($B$3))/$B$2)),2)),"",(ROUND(IF(ISERROR(((VLOOKUP(CONCATENATE(VLOOKUP(D36,Budget!$D$64:$K$70,6,FALSE),'Add-On Tool'!$F$34),Budget!$EH$5:$EO$52,6,FALSE))*($H36*($B$3))/$B$2)),"",((VLOOKUP(CONCATENATE(VLOOKUP(D36,Budget!$D$64:$K$70,6,FALSE),'Add-On Tool'!$F$34),Budget!$EH$5:$EO$52,6,FALSE))*($H36*($B$3))/$B$2)),2)))</f>
        <v/>
      </c>
      <c r="J36" s="646"/>
      <c r="K36" s="197">
        <f>IF(ISERROR((I36*J36)),0,(I36*J36))</f>
        <v>0</v>
      </c>
      <c r="L36" s="299" t="str">
        <f>IF(ISERROR(ROUND(IF(ISERROR(((VLOOKUP(CONCATENATE(VLOOKUP(D36,Budget!$D$64:$K$70,6,FALSE),'Add-On Tool'!$F$34),Budget!$EH$5:$EO$52,7,FALSE))*($H36*($C$3))/$C$2)),"",((VLOOKUP(CONCATENATE(VLOOKUP(D36,Budget!$D$64:$K$70,6,FALSE),'Add-On Tool'!$F$34),Budget!$EH$5:$EO$52,7,FALSE))*($H36*($C$3))/$C$2)),2)),"",(ROUND(IF(ISERROR(((VLOOKUP(CONCATENATE(VLOOKUP(D36,Budget!$D$64:$K$70,6,FALSE),'Add-On Tool'!$F$34),Budget!$EH$5:$EO$52,7,FALSE))*($H36*($C$3))/$C$2)),"",((VLOOKUP(CONCATENATE(VLOOKUP(D36,Budget!$D$64:$K$70,6,FALSE),'Add-On Tool'!$F$34),Budget!$EH$5:$EO$52,7,FALSE))*($H36*($C$3))/$C$2)),2)))</f>
        <v/>
      </c>
      <c r="M36" s="650"/>
      <c r="N36" s="299">
        <f>IF(ISERROR((L36*M36)),0,(L36*M36))</f>
        <v>0</v>
      </c>
      <c r="P36" s="83" t="str">
        <f>IF(F36="","",IF(OR(F36&lt;Budget!$E$9,F36&gt;=Budget!$A$9),"x",""))</f>
        <v/>
      </c>
      <c r="Q36" s="83" t="str">
        <f>IF(G36="","",IF(OR(G36&gt;=Budget!$A$9,G36&lt;Budget!$E$9),"x",""))</f>
        <v/>
      </c>
      <c r="R36" s="69">
        <f>IF(OR(F36="",G36=""),0,G36-F36+1)</f>
        <v>0</v>
      </c>
      <c r="S36" s="123" t="str">
        <f>IF(J36+M36&gt;R36,"x","")</f>
        <v/>
      </c>
      <c r="T36" s="69">
        <f>IF(ISERROR(VLOOKUP(D36,Budget!$D$64:$P$70,10,FALSE)),0,(VLOOKUP(D36,Budget!$D$64:$P$70,10,FALSE)))</f>
        <v>366</v>
      </c>
      <c r="U36" s="69">
        <f>IF(ISERROR(VLOOKUP(D36,Budget!$D$64:$U$70,15,FALSE)),0,(VLOOKUP(D36,Budget!$D$64:$U$70,15,FALSE)))</f>
        <v>62</v>
      </c>
      <c r="V36" s="87"/>
      <c r="X36" s="672"/>
      <c r="AB36" s="242" t="s">
        <v>418</v>
      </c>
    </row>
    <row r="37" spans="4:69">
      <c r="D37" s="396" t="s">
        <v>314</v>
      </c>
      <c r="E37" s="276"/>
      <c r="F37" s="133"/>
      <c r="G37" s="134"/>
      <c r="H37" s="297"/>
      <c r="I37" s="300" t="str">
        <f>IF(ISERROR(ROUND(IF(ISERROR(((VLOOKUP(CONCATENATE(VLOOKUP(D37,Budget!$D$64:$K$70,6,FALSE),'Add-On Tool'!$F$34),Budget!$EH$5:$EO$52,6,FALSE))*($H37*($B$3))/$B$2)),"",((VLOOKUP(CONCATENATE(VLOOKUP(D37,Budget!$D$64:$K$70,6,FALSE),'Add-On Tool'!$F$34),Budget!$EH$5:$EO$52,6,FALSE))*($H37*($B$3))/$B$2)),2)),"",(ROUND(IF(ISERROR(((VLOOKUP(CONCATENATE(VLOOKUP(D37,Budget!$D$64:$K$70,6,FALSE),'Add-On Tool'!$F$34),Budget!$EH$5:$EO$52,6,FALSE))*($H37*($B$3))/$B$2)),"",((VLOOKUP(CONCATENATE(VLOOKUP(D37,Budget!$D$64:$K$70,6,FALSE),'Add-On Tool'!$F$34),Budget!$EH$5:$EO$52,6,FALSE))*($H37*($B$3))/$B$2)),2)))</f>
        <v/>
      </c>
      <c r="J37" s="647"/>
      <c r="K37" s="6">
        <f>IF(ISERROR((I37*J37)),0,(I37*J37))</f>
        <v>0</v>
      </c>
      <c r="L37" s="300" t="str">
        <f>IF(ISERROR(ROUND(IF(ISERROR(((VLOOKUP(CONCATENATE(VLOOKUP(D37,Budget!$D$64:$K$70,6,FALSE),'Add-On Tool'!$F$34),Budget!$EH$5:$EO$52,7,FALSE))*($H37*($C$3))/$C$2)),"",((VLOOKUP(CONCATENATE(VLOOKUP(D37,Budget!$D$64:$K$70,6,FALSE),'Add-On Tool'!$F$34),Budget!$EH$5:$EO$52,7,FALSE))*($H37*($C$3))/$C$2)),2)),"",(ROUND(IF(ISERROR(((VLOOKUP(CONCATENATE(VLOOKUP(D37,Budget!$D$64:$K$70,6,FALSE),'Add-On Tool'!$F$34),Budget!$EH$5:$EO$52,7,FALSE))*($H37*($C$3))/$C$2)),"",((VLOOKUP(CONCATENATE(VLOOKUP(D37,Budget!$D$64:$K$70,6,FALSE),'Add-On Tool'!$F$34),Budget!$EH$5:$EO$52,7,FALSE))*($H37*($C$3))/$C$2)),2)))</f>
        <v/>
      </c>
      <c r="M37" s="651"/>
      <c r="N37" s="300">
        <f>IF(ISERROR((L37*M37)),0,(L37*M37))</f>
        <v>0</v>
      </c>
      <c r="P37" s="11" t="str">
        <f>IF(F37="","",IF(OR(F37&lt;Budget!$E$9,F37&gt;=Budget!$A$9),"x",""))</f>
        <v/>
      </c>
      <c r="Q37" s="11" t="str">
        <f>IF(G37="","",IF(OR(G37&gt;=Budget!$A$9,G37&lt;Budget!$E$9),"x",""))</f>
        <v/>
      </c>
      <c r="R37" s="23">
        <f>IF(OR(F37="",G37=""),0,G37-F37+1)</f>
        <v>0</v>
      </c>
      <c r="S37" t="str">
        <f>IF(J37+M37&gt;R37,"x","")</f>
        <v/>
      </c>
      <c r="T37" s="23">
        <f>IF(ISERROR(VLOOKUP(D37,Budget!$D$64:$P$70,10,FALSE)),0,(VLOOKUP(D37,Budget!$D$64:$P$70,10,FALSE)))</f>
        <v>366</v>
      </c>
      <c r="U37" s="23">
        <f>IF(ISERROR(VLOOKUP(D37,Budget!$D$64:$U$70,15,FALSE)),0,(VLOOKUP(D37,Budget!$D$64:$U$70,15,FALSE)))</f>
        <v>62</v>
      </c>
      <c r="V37" s="87"/>
      <c r="AB37" s="242" t="s">
        <v>419</v>
      </c>
    </row>
    <row r="38" spans="4:69" ht="15" thickBot="1">
      <c r="D38" s="397" t="s">
        <v>314</v>
      </c>
      <c r="E38" s="394"/>
      <c r="F38" s="135"/>
      <c r="G38" s="136"/>
      <c r="H38" s="298"/>
      <c r="I38" s="301" t="str">
        <f>IF(ISERROR(ROUND(IF(ISERROR(((VLOOKUP(CONCATENATE(VLOOKUP(D38,Budget!$D$64:$K$70,6,FALSE),'Add-On Tool'!$F$34),Budget!$EH$5:$EO$52,6,FALSE))*($H38*($B$3))/$B$2)),"",((VLOOKUP(CONCATENATE(VLOOKUP(D38,Budget!$D$64:$K$70,6,FALSE),'Add-On Tool'!$F$34),Budget!$EH$5:$EO$52,6,FALSE))*($H38*($B$3))/$B$2)),2)),"",(ROUND(IF(ISERROR(((VLOOKUP(CONCATENATE(VLOOKUP(D38,Budget!$D$64:$K$70,6,FALSE),'Add-On Tool'!$F$34),Budget!$EH$5:$EO$52,6,FALSE))*($H38*($B$3))/$B$2)),"",((VLOOKUP(CONCATENATE(VLOOKUP(D38,Budget!$D$64:$K$70,6,FALSE),'Add-On Tool'!$F$34),Budget!$EH$5:$EO$52,6,FALSE))*($H38*($B$3))/$B$2)),2)))</f>
        <v/>
      </c>
      <c r="J38" s="648"/>
      <c r="K38" s="196">
        <f>IF(ISERROR((I38*J38)),0,(I38*J38))</f>
        <v>0</v>
      </c>
      <c r="L38" s="301" t="str">
        <f>IF(ISERROR(ROUND(IF(ISERROR(((VLOOKUP(CONCATENATE(VLOOKUP(D38,Budget!$D$64:$K$70,6,FALSE),'Add-On Tool'!$F$34),Budget!$EH$5:$EO$52,7,FALSE))*($H38*($C$3))/$C$2)),"",((VLOOKUP(CONCATENATE(VLOOKUP(D38,Budget!$D$64:$K$70,6,FALSE),'Add-On Tool'!$F$34),Budget!$EH$5:$EO$52,7,FALSE))*($H38*($C$3))/$C$2)),2)),"",(ROUND(IF(ISERROR(((VLOOKUP(CONCATENATE(VLOOKUP(D38,Budget!$D$64:$K$70,6,FALSE),'Add-On Tool'!$F$34),Budget!$EH$5:$EO$52,7,FALSE))*($H38*($C$3))/$C$2)),"",((VLOOKUP(CONCATENATE(VLOOKUP(D38,Budget!$D$64:$K$70,6,FALSE),'Add-On Tool'!$F$34),Budget!$EH$5:$EO$52,7,FALSE))*($H38*($C$3))/$C$2)),2)))</f>
        <v/>
      </c>
      <c r="M38" s="652"/>
      <c r="N38" s="301">
        <f>IF(ISERROR((L38*M38)),0,(L38*M38))</f>
        <v>0</v>
      </c>
      <c r="P38" s="12" t="str">
        <f>IF(F38="","",IF(OR(F38&lt;Budget!$E$9,F38&gt;=Budget!$A$9),"x",""))</f>
        <v/>
      </c>
      <c r="Q38" s="12" t="str">
        <f>IF(G38="","",IF(OR(G38&gt;=Budget!$A$9,G38&lt;Budget!$E$9),"x",""))</f>
        <v/>
      </c>
      <c r="R38" s="9">
        <f>IF(OR(F38="",G38=""),0,G38-F38+1)</f>
        <v>0</v>
      </c>
      <c r="S38" s="124" t="str">
        <f>IF(J38+M38&gt;R38,"x","")</f>
        <v/>
      </c>
      <c r="T38" s="9">
        <f>IF(ISERROR(VLOOKUP(D38,Budget!$D$64:$P$70,10,FALSE)),0,(VLOOKUP(D38,Budget!$D$64:$P$70,10,FALSE)))</f>
        <v>366</v>
      </c>
      <c r="U38" s="9">
        <f>IF(ISERROR(VLOOKUP(D38,Budget!$D$64:$U$70,15,FALSE)),0,(VLOOKUP(D38,Budget!$D$64:$U$70,15,FALSE)))</f>
        <v>62</v>
      </c>
      <c r="V38" s="87"/>
      <c r="AB38" s="245" t="s">
        <v>450</v>
      </c>
    </row>
    <row r="39" spans="4:69" ht="15" thickBot="1">
      <c r="J39" s="117" t="str">
        <f>+$K$15</f>
        <v>FY 24 Total</v>
      </c>
      <c r="K39" s="81">
        <f>SUM(K36:K38)</f>
        <v>0</v>
      </c>
      <c r="M39" s="117" t="str">
        <f>+$N$15</f>
        <v>FY 25 Total</v>
      </c>
      <c r="N39" s="302">
        <f>SUM(N36:N38)</f>
        <v>0</v>
      </c>
      <c r="V39" s="87"/>
    </row>
    <row r="40" spans="4:69">
      <c r="G40" s="31"/>
      <c r="H40" s="31"/>
    </row>
    <row r="41" spans="4:69" ht="18">
      <c r="D41" s="4" t="s">
        <v>388</v>
      </c>
      <c r="E41" s="4"/>
      <c r="H41" s="76" t="str">
        <f>IF(AND(P45="x",Q45="x"),"FY18 Dates ("&amp;TEXT(F45,"MM/DD/YY")&amp;" - 6/30/2018)",IF(AND(P45="x",Q45=""),"FY18 Dates ("&amp;TEXT(F45,"MM/DD/YY")&amp;" - "&amp;TEXT(G45,"MM/DD/YY")&amp;")",""))</f>
        <v/>
      </c>
      <c r="I41" s="75"/>
      <c r="J41" s="32" t="str">
        <f>IF(AND(P45="x",Q45="x"),"FY19 Dates (7/1/2018 - "&amp;TEXT(F45,"MM/DD/YY")&amp;")",IF(AND(P45="",Q45="x"),"FY19 Dates ("&amp;TEXT(F45,"MM/DD/YY")&amp;" - "&amp;TEXT(G45,"MM/DD/YY")&amp;")",""))</f>
        <v/>
      </c>
      <c r="K41" s="32"/>
      <c r="L41" s="32"/>
      <c r="M41" s="32"/>
    </row>
    <row r="42" spans="4:69" ht="15" thickBot="1"/>
    <row r="43" spans="4:69" ht="15" thickBot="1">
      <c r="F43" s="624" t="s">
        <v>376</v>
      </c>
      <c r="I43" s="726" t="str">
        <f>+$J$4</f>
        <v>FY 2024 Totals</v>
      </c>
      <c r="J43" s="727"/>
      <c r="K43" s="683" t="str">
        <f>+$L$4</f>
        <v>0 Days</v>
      </c>
      <c r="L43" s="726" t="str">
        <f>+$M$4</f>
        <v>FY 2025 Totals</v>
      </c>
      <c r="M43" s="727"/>
      <c r="N43" s="683" t="str">
        <f>+$O$4</f>
        <v>0 Days</v>
      </c>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7"/>
    </row>
    <row r="44" spans="4:69" ht="15" thickBot="1">
      <c r="D44" s="247" t="s">
        <v>235</v>
      </c>
      <c r="E44" s="106" t="s">
        <v>415</v>
      </c>
      <c r="F44" s="106" t="s">
        <v>284</v>
      </c>
      <c r="G44" s="121" t="s">
        <v>285</v>
      </c>
      <c r="H44" s="248" t="s">
        <v>288</v>
      </c>
      <c r="I44" s="106" t="s">
        <v>155</v>
      </c>
      <c r="J44" s="119" t="s">
        <v>405</v>
      </c>
      <c r="K44" s="120" t="s">
        <v>286</v>
      </c>
      <c r="L44" s="248" t="s">
        <v>155</v>
      </c>
      <c r="M44" s="119" t="s">
        <v>405</v>
      </c>
      <c r="N44" s="120" t="s">
        <v>196</v>
      </c>
      <c r="O44" s="77"/>
      <c r="P44" s="114" t="str">
        <f>+P5</f>
        <v>FY 2024 Check</v>
      </c>
      <c r="Q44" s="114" t="str">
        <f>+Q5</f>
        <v>FY 2025 Check</v>
      </c>
      <c r="R44" s="182" t="s">
        <v>183</v>
      </c>
      <c r="S44" s="183" t="s">
        <v>289</v>
      </c>
      <c r="T44" s="114" t="str">
        <f>+U5</f>
        <v>FY 2024 Days</v>
      </c>
      <c r="U44" s="114" t="str">
        <f>+V5</f>
        <v>FY 2025 Days</v>
      </c>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row>
    <row r="45" spans="4:69">
      <c r="D45" s="395" t="s">
        <v>314</v>
      </c>
      <c r="E45" s="393"/>
      <c r="F45" s="131"/>
      <c r="G45" s="132"/>
      <c r="H45" s="296"/>
      <c r="I45" s="299" t="str">
        <f>IF(ISERROR(ROUND(IF(ISERROR(((VLOOKUP(CONCATENATE(VLOOKUP(D45,Budget!$D$64:$K$70,6,FALSE),'Add-On Tool'!$F$34),Budget!$EH$5:$EO$52,6,FALSE))*($H45*($B$3))/$B$2)),"",((VLOOKUP(CONCATENATE(VLOOKUP(D45,Budget!$D$64:$K$70,6,FALSE),'Add-On Tool'!$F$34),Budget!$EH$5:$EO$52,6,FALSE))*($H45*($B$3))/$B$2)),2)),"",(ROUND(IF(ISERROR(((VLOOKUP(CONCATENATE(VLOOKUP(D45,Budget!$D$64:$K$70,6,FALSE),'Add-On Tool'!$F$34),Budget!$EH$5:$EO$52,6,FALSE))*($H45*($B$3))/$B$2)),"",((VLOOKUP(CONCATENATE(VLOOKUP(D45,Budget!$D$64:$K$70,6,FALSE),'Add-On Tool'!$F$34),Budget!$EH$5:$EO$52,6,FALSE))*($H45*($B$3))/$B$2)),2)))</f>
        <v/>
      </c>
      <c r="J45" s="646"/>
      <c r="K45" s="197">
        <f>IF(ISERROR((I45*J45)),0,(I45*J45))</f>
        <v>0</v>
      </c>
      <c r="L45" s="299" t="str">
        <f>IF(ISERROR(ROUND(IF(ISERROR(((VLOOKUP(CONCATENATE(VLOOKUP(D45,Budget!$D$64:$K$70,6,FALSE),'Add-On Tool'!$F$34),Budget!$EH$5:$EO$52,7,FALSE))*($H45*($C$3))/$C$2)),"",((VLOOKUP(CONCATENATE(VLOOKUP(D45,Budget!$D$64:$K$70,6,FALSE),'Add-On Tool'!$F$34),Budget!$EH$5:$EO$52,7,FALSE))*($H45*($C$3))/$C$2)),2)),"",(ROUND(IF(ISERROR(((VLOOKUP(CONCATENATE(VLOOKUP(D45,Budget!$D$64:$K$70,6,FALSE),'Add-On Tool'!$F$34),Budget!$EH$5:$EO$52,7,FALSE))*($H45*($C$3))/$C$2)),"",((VLOOKUP(CONCATENATE(VLOOKUP(D45,Budget!$D$64:$K$70,6,FALSE),'Add-On Tool'!$F$34),Budget!$EH$5:$EO$52,7,FALSE))*($H45*($C$3))/$C$2)),2)))</f>
        <v/>
      </c>
      <c r="M45" s="646"/>
      <c r="N45" s="299">
        <f>IF(ISERROR((L45*M45)),0,(L45*M45))</f>
        <v>0</v>
      </c>
      <c r="O45" s="77"/>
      <c r="P45" s="184" t="str">
        <f>IF(F45="","",IF(OR(F45&lt;Budget!$E$9,F45&gt;Budget!$A$9),"x",""))</f>
        <v/>
      </c>
      <c r="Q45" s="83" t="str">
        <f>IF(G45="","",IF(OR(G45&gt;=Budget!$A$9,G45&lt;Budget!$E$9),"x",""))</f>
        <v/>
      </c>
      <c r="R45" s="69">
        <f>IF(OR(F45="",G45=""),0,G45-F45+1)</f>
        <v>0</v>
      </c>
      <c r="S45" s="185" t="str">
        <f>IF(J45+M45&gt;R45,"x","")</f>
        <v/>
      </c>
      <c r="T45" s="69">
        <f>IF(ISERROR(VLOOKUP(D45,Budget!$D$64:$P$70,10,FALSE)),0,(VLOOKUP(D45,Budget!$D$64:$P$70,10,FALSE)))</f>
        <v>366</v>
      </c>
      <c r="U45" s="69">
        <f>IF(ISERROR(VLOOKUP(D45,Budget!$D$64:$U$70,15,FALSE)),0,(VLOOKUP(D45,Budget!$D$64:$U$70,15,FALSE)))</f>
        <v>62</v>
      </c>
      <c r="V45" s="77"/>
      <c r="W45" s="77"/>
      <c r="X45" s="672"/>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row>
    <row r="46" spans="4:69">
      <c r="D46" s="396" t="s">
        <v>314</v>
      </c>
      <c r="E46" s="276"/>
      <c r="F46" s="133"/>
      <c r="G46" s="134"/>
      <c r="H46" s="297"/>
      <c r="I46" s="300" t="str">
        <f>IF(ISERROR(ROUND(IF(ISERROR(((VLOOKUP(CONCATENATE(VLOOKUP(D46,Budget!$D$64:$K$70,6,FALSE),'Add-On Tool'!$F$34),Budget!$EH$5:$EO$52,6,FALSE))*($H46*($B$3))/$B$2)),"",((VLOOKUP(CONCATENATE(VLOOKUP(D46,Budget!$D$64:$K$70,6,FALSE),'Add-On Tool'!$F$34),Budget!$EH$5:$EO$52,6,FALSE))*($H46*($B$3))/$B$2)),2)),"",(ROUND(IF(ISERROR(((VLOOKUP(CONCATENATE(VLOOKUP(D46,Budget!$D$64:$K$70,6,FALSE),'Add-On Tool'!$F$34),Budget!$EH$5:$EO$52,6,FALSE))*($H46*($B$3))/$B$2)),"",((VLOOKUP(CONCATENATE(VLOOKUP(D46,Budget!$D$64:$K$70,6,FALSE),'Add-On Tool'!$F$34),Budget!$EH$5:$EO$52,6,FALSE))*($H46*($B$3))/$B$2)),2)))</f>
        <v/>
      </c>
      <c r="J46" s="647"/>
      <c r="K46" s="6">
        <f>IF(ISERROR((I46*J46)),0,(I46*J46))</f>
        <v>0</v>
      </c>
      <c r="L46" s="300" t="str">
        <f>IF(ISERROR(ROUND(IF(ISERROR(((VLOOKUP(CONCATENATE(VLOOKUP(D46,Budget!$D$64:$K$70,6,FALSE),'Add-On Tool'!$F$34),Budget!$EH$5:$EO$52,7,FALSE))*($H46*($C$3))/$C$2)),"",((VLOOKUP(CONCATENATE(VLOOKUP(D46,Budget!$D$64:$K$70,6,FALSE),'Add-On Tool'!$F$34),Budget!$EH$5:$EO$52,7,FALSE))*($H46*($C$3))/$C$2)),2)),"",(ROUND(IF(ISERROR(((VLOOKUP(CONCATENATE(VLOOKUP(D46,Budget!$D$64:$K$70,6,FALSE),'Add-On Tool'!$F$34),Budget!$EH$5:$EO$52,7,FALSE))*($H46*($C$3))/$C$2)),"",((VLOOKUP(CONCATENATE(VLOOKUP(D46,Budget!$D$64:$K$70,6,FALSE),'Add-On Tool'!$F$34),Budget!$EH$5:$EO$52,7,FALSE))*($H46*($C$3))/$C$2)),2)))</f>
        <v/>
      </c>
      <c r="M46" s="647"/>
      <c r="N46" s="300">
        <f>IF(ISERROR((L46*M46)),0,(L46*M46))</f>
        <v>0</v>
      </c>
      <c r="O46" s="77"/>
      <c r="P46" s="186" t="str">
        <f>IF(F46="","",IF(OR(F46&lt;Budget!$E$9,F46&gt;Budget!$A$9),"x",""))</f>
        <v/>
      </c>
      <c r="Q46" s="11" t="str">
        <f>IF(G46="","",IF(OR(G46&gt;=Budget!$A$9,G46&lt;Budget!$E$9),"x",""))</f>
        <v/>
      </c>
      <c r="R46" s="23">
        <f>IF(OR(F46="",G46=""),0,G46-F46+1)</f>
        <v>0</v>
      </c>
      <c r="S46" s="77" t="str">
        <f>IF(J46+M46&gt;R46,"x","")</f>
        <v/>
      </c>
      <c r="T46" s="23">
        <f>IF(ISERROR(VLOOKUP(D46,Budget!$D$64:$P$70,10,FALSE)),0,(VLOOKUP(D46,Budget!$D$64:$P$70,10,FALSE)))</f>
        <v>366</v>
      </c>
      <c r="U46" s="23">
        <f>IF(ISERROR(VLOOKUP(D46,Budget!$D$64:$U$70,15,FALSE)),0,(VLOOKUP(D46,Budget!$D$64:$U$70,15,FALSE)))</f>
        <v>62</v>
      </c>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row>
    <row r="47" spans="4:69" ht="15" thickBot="1">
      <c r="D47" s="397" t="s">
        <v>314</v>
      </c>
      <c r="E47" s="394"/>
      <c r="F47" s="135"/>
      <c r="G47" s="136"/>
      <c r="H47" s="298"/>
      <c r="I47" s="301" t="str">
        <f>IF(ISERROR(ROUND(IF(ISERROR(((VLOOKUP(CONCATENATE(VLOOKUP(D47,Budget!$D$64:$K$70,6,FALSE),'Add-On Tool'!$F$34),Budget!$EH$5:$EO$52,6,FALSE))*($H47*($B$3))/$B$2)),"",((VLOOKUP(CONCATENATE(VLOOKUP(D47,Budget!$D$64:$K$70,6,FALSE),'Add-On Tool'!$F$34),Budget!$EH$5:$EO$52,6,FALSE))*($H47*($B$3))/$B$2)),2)),"",(ROUND(IF(ISERROR(((VLOOKUP(CONCATENATE(VLOOKUP(D47,Budget!$D$64:$K$70,6,FALSE),'Add-On Tool'!$F$34),Budget!$EH$5:$EO$52,6,FALSE))*($H47*($B$3))/$B$2)),"",((VLOOKUP(CONCATENATE(VLOOKUP(D47,Budget!$D$64:$K$70,6,FALSE),'Add-On Tool'!$F$34),Budget!$EH$5:$EO$52,6,FALSE))*($H47*($B$3))/$B$2)),2)))</f>
        <v/>
      </c>
      <c r="J47" s="648"/>
      <c r="K47" s="196">
        <f>IF(ISERROR((I47*J47)),0,(I47*J47))</f>
        <v>0</v>
      </c>
      <c r="L47" s="301" t="str">
        <f>IF(ISERROR(ROUND(IF(ISERROR(((VLOOKUP(CONCATENATE(VLOOKUP(D47,Budget!$D$64:$K$70,6,FALSE),'Add-On Tool'!$F$34),Budget!$EH$5:$EO$52,7,FALSE))*($H47*($C$3))/$C$2)),"",((VLOOKUP(CONCATENATE(VLOOKUP(D47,Budget!$D$64:$K$70,6,FALSE),'Add-On Tool'!$F$34),Budget!$EH$5:$EO$52,7,FALSE))*($H47*($C$3))/$C$2)),2)),"",(ROUND(IF(ISERROR(((VLOOKUP(CONCATENATE(VLOOKUP(D47,Budget!$D$64:$K$70,6,FALSE),'Add-On Tool'!$F$34),Budget!$EH$5:$EO$52,7,FALSE))*($H47*($C$3))/$C$2)),"",((VLOOKUP(CONCATENATE(VLOOKUP(D47,Budget!$D$64:$K$70,6,FALSE),'Add-On Tool'!$F$34),Budget!$EH$5:$EO$52,7,FALSE))*($H47*($C$3))/$C$2)),2)))</f>
        <v/>
      </c>
      <c r="M47" s="648"/>
      <c r="N47" s="301">
        <f>IF(ISERROR((L47*M47)),0,(L47*M47))</f>
        <v>0</v>
      </c>
      <c r="O47" s="77"/>
      <c r="P47" s="187" t="str">
        <f>IF(F47="","",IF(OR(F47&lt;Budget!$E$9,F47&gt;Budget!$A$9),"x",""))</f>
        <v/>
      </c>
      <c r="Q47" s="12" t="str">
        <f>IF(G47="","",IF(OR(G47&gt;=Budget!$A$9,G47&lt;Budget!$E$9),"x",""))</f>
        <v/>
      </c>
      <c r="R47" s="9">
        <f>IF(OR(F47="",G47=""),0,G47-F47+1)</f>
        <v>0</v>
      </c>
      <c r="S47" s="188" t="str">
        <f>IF(J47+M47&gt;R47,"x","")</f>
        <v/>
      </c>
      <c r="T47" s="9">
        <f>IF(ISERROR(VLOOKUP(D47,Budget!$D$64:$P$70,10,FALSE)),0,(VLOOKUP(D47,Budget!$D$64:$P$70,10,FALSE)))</f>
        <v>366</v>
      </c>
      <c r="U47" s="9">
        <f>IF(ISERROR(VLOOKUP(D47,Budget!$D$64:$U$70,15,FALSE)),0,(VLOOKUP(D47,Budget!$D$64:$U$70,15,FALSE)))</f>
        <v>62</v>
      </c>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7"/>
      <c r="BM47" s="77"/>
      <c r="BN47" s="77"/>
      <c r="BO47" s="77"/>
      <c r="BP47" s="77"/>
      <c r="BQ47" s="77"/>
    </row>
    <row r="48" spans="4:69" ht="15" thickBot="1">
      <c r="J48" s="117" t="str">
        <f>+$K$15</f>
        <v>FY 24 Total</v>
      </c>
      <c r="K48" s="81">
        <f>SUM(K45:K47)</f>
        <v>0</v>
      </c>
      <c r="M48" s="117" t="str">
        <f>+$N$15</f>
        <v>FY 25 Total</v>
      </c>
      <c r="N48" s="302">
        <f>SUM(N45:N47)</f>
        <v>0</v>
      </c>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c r="BP48" s="77"/>
      <c r="BQ48" s="77"/>
    </row>
  </sheetData>
  <sheetProtection algorithmName="SHA-512" hashValue="jiV6UMqWvrlvYQbaFaLD5IJctak0wBtpBK3ZCYXdDVK8CH4ER3pTfgpAp9Vfzh6E+nf/gHeps/6UantnDaHp7Q==" saltValue="xarnMVCQor8mITi8Wajotw==" spinCount="100000" sheet="1" selectLockedCells="1"/>
  <mergeCells count="9">
    <mergeCell ref="I34:J34"/>
    <mergeCell ref="L34:M34"/>
    <mergeCell ref="I43:J43"/>
    <mergeCell ref="L43:M43"/>
    <mergeCell ref="D1:F1"/>
    <mergeCell ref="J4:K4"/>
    <mergeCell ref="M4:N4"/>
    <mergeCell ref="I19:J19"/>
    <mergeCell ref="L19:M19"/>
  </mergeCells>
  <conditionalFormatting sqref="E6:E14">
    <cfRule type="expression" dxfId="309" priority="23" stopIfTrue="1">
      <formula>D6&lt;&gt;""</formula>
    </cfRule>
  </conditionalFormatting>
  <conditionalFormatting sqref="E21:E29">
    <cfRule type="expression" dxfId="308" priority="104" stopIfTrue="1">
      <formula>D21&lt;&gt;""</formula>
    </cfRule>
  </conditionalFormatting>
  <conditionalFormatting sqref="E36:E38">
    <cfRule type="expression" dxfId="307" priority="101" stopIfTrue="1">
      <formula>D36&lt;&gt;""</formula>
    </cfRule>
  </conditionalFormatting>
  <conditionalFormatting sqref="E45:E47">
    <cfRule type="expression" dxfId="306" priority="98" stopIfTrue="1">
      <formula>D45&lt;&gt;""</formula>
    </cfRule>
  </conditionalFormatting>
  <conditionalFormatting sqref="F6:F14">
    <cfRule type="expression" dxfId="305" priority="13" stopIfTrue="1">
      <formula>D6=""</formula>
    </cfRule>
  </conditionalFormatting>
  <conditionalFormatting sqref="F21:G29">
    <cfRule type="expression" dxfId="304" priority="46" stopIfTrue="1">
      <formula>T21="x"</formula>
    </cfRule>
    <cfRule type="expression" dxfId="303" priority="47" stopIfTrue="1">
      <formula>$D21&lt;&gt;""</formula>
    </cfRule>
  </conditionalFormatting>
  <conditionalFormatting sqref="F36:G38">
    <cfRule type="expression" dxfId="302" priority="77" stopIfTrue="1">
      <formula>P36="x"</formula>
    </cfRule>
  </conditionalFormatting>
  <conditionalFormatting sqref="F45:G46">
    <cfRule type="expression" dxfId="301" priority="5" stopIfTrue="1">
      <formula>P45="x"</formula>
    </cfRule>
    <cfRule type="expression" dxfId="300" priority="6" stopIfTrue="1">
      <formula>$D45&lt;&gt;""</formula>
    </cfRule>
  </conditionalFormatting>
  <conditionalFormatting sqref="F47:G47">
    <cfRule type="expression" dxfId="299" priority="79" stopIfTrue="1">
      <formula>O47="x"</formula>
    </cfRule>
    <cfRule type="expression" dxfId="298" priority="80" stopIfTrue="1">
      <formula>$D47&lt;&gt;""</formula>
    </cfRule>
  </conditionalFormatting>
  <conditionalFormatting sqref="F36:H38">
    <cfRule type="expression" dxfId="297" priority="78" stopIfTrue="1">
      <formula>$D36&lt;&gt;""</formula>
    </cfRule>
  </conditionalFormatting>
  <conditionalFormatting sqref="G6:H14">
    <cfRule type="expression" dxfId="296" priority="1" stopIfTrue="1">
      <formula>P6="x"</formula>
    </cfRule>
  </conditionalFormatting>
  <conditionalFormatting sqref="G6:I14">
    <cfRule type="expression" dxfId="295" priority="2" stopIfTrue="1">
      <formula>$D6&lt;&gt;""</formula>
    </cfRule>
  </conditionalFormatting>
  <conditionalFormatting sqref="H21:H27">
    <cfRule type="expression" dxfId="294" priority="463" stopIfTrue="1">
      <formula>H21&gt;2000</formula>
    </cfRule>
    <cfRule type="expression" dxfId="293" priority="462" stopIfTrue="1">
      <formula>D21=""</formula>
    </cfRule>
  </conditionalFormatting>
  <conditionalFormatting sqref="H21:H28">
    <cfRule type="expression" dxfId="292" priority="314" stopIfTrue="1">
      <formula>H21&gt;2000</formula>
    </cfRule>
  </conditionalFormatting>
  <conditionalFormatting sqref="H28">
    <cfRule type="expression" dxfId="291" priority="313" stopIfTrue="1">
      <formula>D28=""</formula>
    </cfRule>
  </conditionalFormatting>
  <conditionalFormatting sqref="H28:H29">
    <cfRule type="expression" dxfId="290" priority="311" stopIfTrue="1">
      <formula>H28&gt;2000</formula>
    </cfRule>
  </conditionalFormatting>
  <conditionalFormatting sqref="H29">
    <cfRule type="expression" dxfId="289" priority="310" stopIfTrue="1">
      <formula>D29=""</formula>
    </cfRule>
    <cfRule type="expression" dxfId="288" priority="309" stopIfTrue="1">
      <formula>H29&gt;2000</formula>
    </cfRule>
  </conditionalFormatting>
  <conditionalFormatting sqref="H45:H47">
    <cfRule type="expression" dxfId="287" priority="83" stopIfTrue="1">
      <formula>$D45&lt;&gt;""</formula>
    </cfRule>
  </conditionalFormatting>
  <conditionalFormatting sqref="J21:J29">
    <cfRule type="expression" dxfId="286" priority="892" stopIfTrue="1">
      <formula>J21&gt;R21</formula>
    </cfRule>
    <cfRule type="expression" dxfId="285" priority="893" stopIfTrue="1">
      <formula>$D21=""</formula>
    </cfRule>
    <cfRule type="expression" dxfId="284" priority="894" stopIfTrue="1">
      <formula>Q21="x"</formula>
    </cfRule>
  </conditionalFormatting>
  <conditionalFormatting sqref="J36:J38">
    <cfRule type="expression" dxfId="283" priority="244" stopIfTrue="1">
      <formula>$J36&gt;$T36</formula>
    </cfRule>
    <cfRule type="expression" dxfId="282" priority="438" stopIfTrue="1">
      <formula>$D36=""</formula>
    </cfRule>
    <cfRule type="expression" dxfId="281" priority="269" stopIfTrue="1">
      <formula>$S36="x"</formula>
    </cfRule>
  </conditionalFormatting>
  <conditionalFormatting sqref="J45:J47">
    <cfRule type="expression" dxfId="280" priority="272" stopIfTrue="1">
      <formula>$D45=""</formula>
    </cfRule>
    <cfRule type="expression" dxfId="279" priority="246" stopIfTrue="1">
      <formula>$J45&gt;$T45</formula>
    </cfRule>
    <cfRule type="expression" dxfId="278" priority="266" stopIfTrue="1">
      <formula>$S45="x"</formula>
    </cfRule>
  </conditionalFormatting>
  <conditionalFormatting sqref="K6:K14">
    <cfRule type="expression" dxfId="277" priority="271" stopIfTrue="1">
      <formula>T6="x"</formula>
    </cfRule>
    <cfRule type="expression" dxfId="276" priority="260" stopIfTrue="1">
      <formula>$K6&gt;$U6</formula>
    </cfRule>
    <cfRule type="expression" dxfId="275" priority="461" stopIfTrue="1">
      <formula>$D6=""</formula>
    </cfRule>
  </conditionalFormatting>
  <conditionalFormatting sqref="M21:M29">
    <cfRule type="expression" dxfId="274" priority="895" stopIfTrue="1">
      <formula>M21&gt;S21</formula>
    </cfRule>
    <cfRule type="expression" dxfId="273" priority="896" stopIfTrue="1">
      <formula>$D21=""</formula>
    </cfRule>
    <cfRule type="expression" dxfId="272" priority="897" stopIfTrue="1">
      <formula>$Q21="x"</formula>
    </cfRule>
  </conditionalFormatting>
  <conditionalFormatting sqref="M36:M38">
    <cfRule type="expression" dxfId="271" priority="267" stopIfTrue="1">
      <formula>$S36="x"</formula>
    </cfRule>
    <cfRule type="expression" dxfId="270" priority="268" stopIfTrue="1">
      <formula>$D36=""</formula>
    </cfRule>
    <cfRule type="expression" dxfId="269" priority="243" stopIfTrue="1">
      <formula>$M36&gt;$U36</formula>
    </cfRule>
  </conditionalFormatting>
  <conditionalFormatting sqref="M45:M47">
    <cfRule type="expression" dxfId="268" priority="264" stopIfTrue="1">
      <formula>$S45="x"</formula>
    </cfRule>
    <cfRule type="expression" dxfId="267" priority="245" stopIfTrue="1">
      <formula>$M45&gt;$U45</formula>
    </cfRule>
    <cfRule type="expression" dxfId="266" priority="265" stopIfTrue="1">
      <formula>$D45=""</formula>
    </cfRule>
  </conditionalFormatting>
  <conditionalFormatting sqref="N6:N14">
    <cfRule type="expression" dxfId="265" priority="270" stopIfTrue="1">
      <formula>D6=""</formula>
    </cfRule>
    <cfRule type="expression" dxfId="264" priority="259" stopIfTrue="1">
      <formula>T6="x"</formula>
    </cfRule>
    <cfRule type="expression" dxfId="263" priority="147" stopIfTrue="1">
      <formula>$N6&gt;$V6</formula>
    </cfRule>
  </conditionalFormatting>
  <dataValidations count="3">
    <dataValidation type="list" allowBlank="1" showInputMessage="1" showErrorMessage="1" sqref="E45:E47 E21:E29 E36:E38 E6:E14" xr:uid="{00000000-0002-0000-0200-000002000000}">
      <formula1>$AB$34:$AB$38</formula1>
    </dataValidation>
    <dataValidation type="list" allowBlank="1" showInputMessage="1" showErrorMessage="1" sqref="D36:D38 D45:D47" xr:uid="{00000000-0002-0000-0200-000000000000}">
      <formula1>OFFSET($BJ$3,1,0,MAX($BH:$BH),1)</formula1>
    </dataValidation>
    <dataValidation type="list" allowBlank="1" showInputMessage="1" showErrorMessage="1" sqref="D21:D29 D6:D14" xr:uid="{00000000-0002-0000-0200-000001000000}">
      <formula1>OFFSET($AP$3,1,0,MAX($AN:$AN),1)</formula1>
    </dataValidation>
  </dataValidations>
  <pageMargins left="0.7" right="0.7" top="0.75" bottom="0.75" header="0.3" footer="0.3"/>
  <pageSetup paperSize="5" scale="62" orientation="landscape" horizontalDpi="1200" verticalDpi="12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27E8A-5153-4515-80BF-D1A5E47E381C}">
  <sheetPr>
    <tabColor rgb="FFFFCCFF"/>
  </sheetPr>
  <dimension ref="A1:N17"/>
  <sheetViews>
    <sheetView workbookViewId="0">
      <selection activeCell="B7" sqref="B7"/>
    </sheetView>
  </sheetViews>
  <sheetFormatPr defaultRowHeight="14.4"/>
  <cols>
    <col min="2" max="2" width="105.5546875" bestFit="1" customWidth="1"/>
  </cols>
  <sheetData>
    <row r="1" spans="1:14">
      <c r="B1" s="477" t="s">
        <v>690</v>
      </c>
      <c r="D1" s="477"/>
    </row>
    <row r="2" spans="1:14">
      <c r="A2" s="507">
        <v>1</v>
      </c>
      <c r="B2" s="478" t="s">
        <v>721</v>
      </c>
      <c r="C2" s="478"/>
      <c r="D2" s="565"/>
      <c r="E2" s="478"/>
      <c r="F2" s="478"/>
      <c r="G2" s="478"/>
      <c r="H2" s="478"/>
      <c r="I2" s="478"/>
      <c r="J2" s="478"/>
      <c r="K2" s="478"/>
      <c r="L2" s="478"/>
      <c r="M2" s="478"/>
      <c r="N2" s="478"/>
    </row>
    <row r="3" spans="1:14">
      <c r="A3" s="507">
        <f>+A2+1</f>
        <v>2</v>
      </c>
      <c r="B3" s="558" t="s">
        <v>722</v>
      </c>
      <c r="C3" s="558"/>
      <c r="D3" s="566"/>
      <c r="E3" s="558"/>
      <c r="F3" s="558"/>
      <c r="G3" s="558"/>
      <c r="H3" s="558"/>
      <c r="I3" s="558"/>
      <c r="J3" s="558"/>
      <c r="K3" s="558"/>
      <c r="L3" s="558"/>
      <c r="M3" s="558"/>
      <c r="N3" s="558"/>
    </row>
    <row r="4" spans="1:14">
      <c r="A4" s="507">
        <f>+A3+1</f>
        <v>3</v>
      </c>
      <c r="B4" s="476" t="s">
        <v>724</v>
      </c>
      <c r="C4" s="476"/>
      <c r="D4" s="567"/>
      <c r="E4" s="476"/>
      <c r="F4" s="476"/>
      <c r="G4" s="476"/>
      <c r="H4" s="476"/>
      <c r="I4" s="476"/>
      <c r="J4" s="476"/>
      <c r="K4" s="476"/>
      <c r="L4" s="476"/>
      <c r="M4" s="476"/>
      <c r="N4" s="476"/>
    </row>
    <row r="5" spans="1:14">
      <c r="A5" s="507">
        <f>+A4+1</f>
        <v>4</v>
      </c>
      <c r="B5" s="535" t="s">
        <v>755</v>
      </c>
    </row>
    <row r="6" spans="1:14">
      <c r="A6" s="507">
        <f>+A5+1</f>
        <v>5</v>
      </c>
    </row>
    <row r="7" spans="1:14">
      <c r="A7" s="619">
        <f>+A6+1</f>
        <v>6</v>
      </c>
      <c r="B7" t="s">
        <v>783</v>
      </c>
    </row>
    <row r="8" spans="1:14">
      <c r="A8" s="507">
        <f t="shared" ref="A8:A17" si="0">+A7+1</f>
        <v>7</v>
      </c>
    </row>
    <row r="9" spans="1:14">
      <c r="A9" s="507">
        <f t="shared" si="0"/>
        <v>8</v>
      </c>
    </row>
    <row r="10" spans="1:14">
      <c r="A10" s="507">
        <f t="shared" si="0"/>
        <v>9</v>
      </c>
    </row>
    <row r="11" spans="1:14">
      <c r="A11" s="507">
        <f t="shared" si="0"/>
        <v>10</v>
      </c>
    </row>
    <row r="12" spans="1:14">
      <c r="A12" s="507">
        <f>+A11+1</f>
        <v>11</v>
      </c>
    </row>
    <row r="13" spans="1:14">
      <c r="A13" s="507">
        <f t="shared" si="0"/>
        <v>12</v>
      </c>
    </row>
    <row r="14" spans="1:14">
      <c r="A14" s="507">
        <f t="shared" si="0"/>
        <v>13</v>
      </c>
    </row>
    <row r="15" spans="1:14">
      <c r="A15" s="507">
        <f t="shared" si="0"/>
        <v>14</v>
      </c>
    </row>
    <row r="16" spans="1:14">
      <c r="A16" s="507">
        <f t="shared" si="0"/>
        <v>15</v>
      </c>
    </row>
    <row r="17" spans="1:1">
      <c r="A17" s="507">
        <f t="shared" si="0"/>
        <v>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4"/>
  </sheetPr>
  <dimension ref="A1:AK189"/>
  <sheetViews>
    <sheetView showGridLines="0" topLeftCell="I90" zoomScaleNormal="100" workbookViewId="0">
      <selection activeCell="R22" sqref="R22"/>
    </sheetView>
  </sheetViews>
  <sheetFormatPr defaultRowHeight="14.4" outlineLevelRow="1" outlineLevelCol="1"/>
  <cols>
    <col min="1" max="1" width="2.44140625" customWidth="1"/>
    <col min="2" max="2" width="54.5546875" customWidth="1" outlineLevel="1"/>
    <col min="3" max="3" width="32.44140625" customWidth="1"/>
    <col min="4" max="4" width="24.44140625" customWidth="1"/>
    <col min="5" max="5" width="14.109375" customWidth="1"/>
    <col min="6" max="6" width="16.88671875" customWidth="1"/>
    <col min="7" max="7" width="19.88671875" customWidth="1"/>
    <col min="8" max="8" width="14.109375" customWidth="1"/>
    <col min="9" max="9" width="11.5546875" customWidth="1"/>
    <col min="10" max="10" width="17.6640625" customWidth="1"/>
    <col min="11" max="11" width="12.6640625" customWidth="1"/>
    <col min="12" max="12" width="17.6640625" customWidth="1"/>
    <col min="13" max="13" width="19.33203125" customWidth="1"/>
    <col min="14" max="14" width="17.6640625" customWidth="1"/>
    <col min="15" max="18" width="19.33203125" customWidth="1"/>
    <col min="19" max="19" width="11.6640625" customWidth="1"/>
    <col min="20" max="21" width="9" customWidth="1"/>
    <col min="22" max="22" width="12.5546875" customWidth="1" collapsed="1"/>
    <col min="23" max="23" width="8" customWidth="1" collapsed="1"/>
    <col min="24" max="24" width="8" customWidth="1"/>
    <col min="25" max="25" width="12.88671875" bestFit="1" customWidth="1"/>
    <col min="26" max="26" width="11.77734375" bestFit="1" customWidth="1"/>
    <col min="27" max="27" width="8.77734375" bestFit="1" customWidth="1"/>
    <col min="28" max="28" width="7" bestFit="1" customWidth="1"/>
  </cols>
  <sheetData>
    <row r="1" spans="1:30" ht="15.6">
      <c r="A1" s="2" t="s">
        <v>517</v>
      </c>
      <c r="B1" s="2"/>
      <c r="O1" s="205"/>
      <c r="P1" s="205"/>
      <c r="Q1" s="205"/>
      <c r="R1" s="205"/>
    </row>
    <row r="2" spans="1:30" ht="11.4" customHeight="1">
      <c r="H2" s="32"/>
      <c r="I2" s="32"/>
      <c r="J2" s="32"/>
      <c r="K2" s="32"/>
      <c r="L2" s="32"/>
      <c r="M2" s="32"/>
      <c r="N2" s="32"/>
      <c r="O2" s="205"/>
      <c r="P2" s="205"/>
      <c r="Q2" s="205"/>
      <c r="R2" s="205"/>
    </row>
    <row r="3" spans="1:30" ht="9.6" customHeight="1" thickBot="1">
      <c r="H3" s="32"/>
      <c r="I3" s="543"/>
      <c r="J3" s="543"/>
      <c r="K3" s="543"/>
      <c r="L3" s="543"/>
      <c r="M3" s="543"/>
      <c r="N3" s="543"/>
      <c r="O3" s="543"/>
      <c r="P3" s="32"/>
      <c r="Q3" s="32"/>
      <c r="R3" s="32"/>
    </row>
    <row r="4" spans="1:30" ht="15.6" customHeight="1" thickBot="1">
      <c r="A4" s="616" t="s">
        <v>209</v>
      </c>
      <c r="B4" s="33"/>
      <c r="H4" s="32"/>
      <c r="I4" s="32"/>
      <c r="J4" s="86" t="s">
        <v>454</v>
      </c>
      <c r="K4" s="224"/>
      <c r="L4" s="86" t="s">
        <v>453</v>
      </c>
      <c r="M4" s="224"/>
      <c r="N4" s="86" t="s">
        <v>488</v>
      </c>
      <c r="O4" s="224"/>
      <c r="P4" s="224"/>
      <c r="Q4" s="224"/>
      <c r="R4" s="663">
        <f>+Budget!B17</f>
        <v>0.04</v>
      </c>
    </row>
    <row r="5" spans="1:30" ht="15.75" customHeight="1" thickBot="1">
      <c r="A5" s="33"/>
      <c r="B5" s="33"/>
      <c r="C5" s="66"/>
      <c r="H5" s="32"/>
      <c r="I5" s="86" t="s">
        <v>294</v>
      </c>
      <c r="J5" s="67">
        <f>Budget!AT32</f>
        <v>3.5000000000000003E-2</v>
      </c>
      <c r="K5" s="86" t="s">
        <v>293</v>
      </c>
      <c r="L5" s="67">
        <f>Budget!AT33</f>
        <v>3.5000000000000003E-2</v>
      </c>
      <c r="M5" s="86" t="s">
        <v>462</v>
      </c>
      <c r="N5" s="67">
        <f>Budget!AT34</f>
        <v>0.04</v>
      </c>
      <c r="O5" s="86" t="s">
        <v>489</v>
      </c>
      <c r="P5" s="548" t="str">
        <f>Z9</f>
        <v>FY2023</v>
      </c>
      <c r="Q5" s="548" t="str">
        <f>AA9</f>
        <v>FY2024</v>
      </c>
      <c r="R5" s="662" t="s">
        <v>817</v>
      </c>
      <c r="T5" s="548" t="s">
        <v>723</v>
      </c>
      <c r="V5" s="729" t="s">
        <v>753</v>
      </c>
      <c r="W5" s="729"/>
      <c r="X5" s="729"/>
      <c r="Y5" s="729"/>
    </row>
    <row r="6" spans="1:30" ht="15" outlineLevel="1" thickBot="1">
      <c r="A6" s="33"/>
      <c r="B6" s="33">
        <v>1</v>
      </c>
      <c r="C6" s="66">
        <v>2</v>
      </c>
      <c r="D6" s="33">
        <v>3</v>
      </c>
      <c r="E6" s="33">
        <v>4</v>
      </c>
      <c r="F6" s="33">
        <v>5</v>
      </c>
      <c r="G6" s="33">
        <v>6</v>
      </c>
      <c r="H6" s="33">
        <v>7</v>
      </c>
      <c r="I6" s="33">
        <v>8</v>
      </c>
      <c r="J6" s="33">
        <v>9</v>
      </c>
      <c r="K6" s="33">
        <v>10</v>
      </c>
      <c r="L6" s="33">
        <v>11</v>
      </c>
      <c r="M6" s="33">
        <v>12</v>
      </c>
      <c r="N6" s="33">
        <v>13</v>
      </c>
      <c r="O6" s="33">
        <v>14</v>
      </c>
      <c r="P6" s="33">
        <v>15</v>
      </c>
      <c r="Q6" s="33">
        <v>16</v>
      </c>
      <c r="R6" s="33">
        <v>17</v>
      </c>
      <c r="S6" s="33">
        <v>18</v>
      </c>
      <c r="V6" s="729"/>
      <c r="W6" s="729"/>
      <c r="X6" s="729"/>
      <c r="Y6" s="729"/>
    </row>
    <row r="7" spans="1:30">
      <c r="B7" s="16" t="s">
        <v>201</v>
      </c>
      <c r="C7" s="16" t="s">
        <v>146</v>
      </c>
      <c r="D7" s="16" t="s">
        <v>198</v>
      </c>
      <c r="E7" s="16" t="s">
        <v>31</v>
      </c>
      <c r="F7" s="41" t="s">
        <v>213</v>
      </c>
      <c r="G7" s="17" t="s">
        <v>210</v>
      </c>
      <c r="H7" s="34" t="s">
        <v>145</v>
      </c>
      <c r="I7" s="34"/>
      <c r="J7" s="35" t="s">
        <v>231</v>
      </c>
      <c r="K7" s="35" t="s">
        <v>230</v>
      </c>
      <c r="L7" s="35" t="s">
        <v>461</v>
      </c>
      <c r="M7" s="35" t="s">
        <v>232</v>
      </c>
      <c r="N7" s="35" t="s">
        <v>461</v>
      </c>
      <c r="O7" s="35" t="s">
        <v>232</v>
      </c>
      <c r="P7" s="35"/>
      <c r="Q7" s="35"/>
      <c r="R7" s="35"/>
      <c r="S7" s="35" t="s">
        <v>211</v>
      </c>
      <c r="V7" s="729"/>
      <c r="W7" s="729"/>
      <c r="X7" s="729"/>
      <c r="Y7" s="729"/>
    </row>
    <row r="8" spans="1:30" ht="11.4" customHeight="1">
      <c r="B8" s="26"/>
      <c r="C8" s="414" t="s">
        <v>381</v>
      </c>
      <c r="D8" s="26"/>
      <c r="E8" s="26"/>
      <c r="F8" s="26"/>
      <c r="G8" s="26"/>
      <c r="H8" s="26"/>
      <c r="I8" s="26"/>
      <c r="J8" s="26"/>
      <c r="K8" s="26"/>
      <c r="L8" s="26"/>
      <c r="M8" s="26"/>
      <c r="N8" s="26"/>
      <c r="O8" s="26"/>
      <c r="P8" s="26"/>
      <c r="Q8" s="26"/>
      <c r="R8" s="26"/>
      <c r="S8" s="26"/>
      <c r="V8" s="729"/>
      <c r="W8" s="729"/>
      <c r="X8" s="729"/>
      <c r="Y8" s="729"/>
    </row>
    <row r="9" spans="1:30" ht="11.4" customHeight="1">
      <c r="B9" s="18" t="str">
        <f t="shared" ref="B9:B40" si="0">CONCATENATE(E9,D9,C9)</f>
        <v>Self-DirectionCommunity Pathways WaiverAssistive Technology and Services</v>
      </c>
      <c r="C9" s="18" t="s">
        <v>45</v>
      </c>
      <c r="D9" s="18" t="s">
        <v>298</v>
      </c>
      <c r="E9" s="18" t="s">
        <v>127</v>
      </c>
      <c r="F9" s="18" t="s">
        <v>154</v>
      </c>
      <c r="G9" s="18" t="s">
        <v>300</v>
      </c>
      <c r="H9" s="18" t="s">
        <v>142</v>
      </c>
      <c r="I9" s="36" t="s">
        <v>212</v>
      </c>
      <c r="J9" s="96" t="str">
        <f t="shared" ref="J9:J14" si="1">IF(I9&lt;&gt;"",$J$5,"")</f>
        <v/>
      </c>
      <c r="K9" s="36" t="str">
        <f>IF(I9&lt;&gt;"",I9*(1+J9),I9)</f>
        <v/>
      </c>
      <c r="L9" s="96" t="str">
        <f t="shared" ref="L9:L14" si="2">IF(K9&lt;&gt;"",$L$5,"")</f>
        <v/>
      </c>
      <c r="M9" s="388" t="str">
        <f>IF(K9&lt;&gt;"",K9*(1+L9),K9)</f>
        <v/>
      </c>
      <c r="N9" s="96" t="str">
        <f t="shared" ref="N9:N14" si="3">IF(M9&lt;&gt;"",$L$5,"")</f>
        <v/>
      </c>
      <c r="O9" s="388" t="str">
        <f>IF(M9&lt;&gt;"",M9*(1+N9),M9)</f>
        <v/>
      </c>
      <c r="P9" s="388" t="str">
        <f>_xlfn.IFNA(VLOOKUP($G9,$V$12:$AA$100,5,FALSE),"")</f>
        <v/>
      </c>
      <c r="Q9" s="388" t="str">
        <f>_xlfn.IFNA(VLOOKUP($G9,$V$12:$AA$100,6,FALSE),"")</f>
        <v/>
      </c>
      <c r="R9" s="388"/>
      <c r="S9" s="434">
        <v>10000000</v>
      </c>
      <c r="Z9" s="482" t="str">
        <f>"FY"&amp;YEAR(Z11)+1</f>
        <v>FY2023</v>
      </c>
      <c r="AA9" s="483" t="str">
        <f>"FY"&amp;YEAR(AA11)+1</f>
        <v>FY2024</v>
      </c>
    </row>
    <row r="10" spans="1:30" ht="11.4" customHeight="1">
      <c r="B10" s="18" t="str">
        <f t="shared" si="0"/>
        <v>Self-DirectionCommunity Supports WaiverAssistive Technology and Services</v>
      </c>
      <c r="C10" s="18" t="s">
        <v>45</v>
      </c>
      <c r="D10" s="18" t="s">
        <v>200</v>
      </c>
      <c r="E10" s="18" t="s">
        <v>127</v>
      </c>
      <c r="F10" s="18" t="s">
        <v>154</v>
      </c>
      <c r="G10" s="18" t="s">
        <v>47</v>
      </c>
      <c r="H10" s="18" t="s">
        <v>142</v>
      </c>
      <c r="I10" s="36" t="s">
        <v>212</v>
      </c>
      <c r="J10" s="96" t="str">
        <f t="shared" si="1"/>
        <v/>
      </c>
      <c r="K10" s="36" t="s">
        <v>212</v>
      </c>
      <c r="L10" s="96" t="str">
        <f t="shared" si="2"/>
        <v/>
      </c>
      <c r="M10" s="388" t="s">
        <v>212</v>
      </c>
      <c r="N10" s="96" t="str">
        <f t="shared" si="3"/>
        <v/>
      </c>
      <c r="O10" s="388" t="s">
        <v>212</v>
      </c>
      <c r="P10" s="388" t="str">
        <f t="shared" ref="P10:P73" si="4">_xlfn.IFNA(VLOOKUP($G10,$V$12:$AA$100,5,FALSE),"")</f>
        <v/>
      </c>
      <c r="Q10" s="388" t="str">
        <f t="shared" ref="Q10:Q73" si="5">_xlfn.IFNA(VLOOKUP($G10,$V$12:$AA$100,6,FALSE),"")</f>
        <v/>
      </c>
      <c r="R10" s="388"/>
      <c r="S10" s="389">
        <v>25000</v>
      </c>
      <c r="V10" s="474" t="s">
        <v>683</v>
      </c>
      <c r="Z10" s="474" t="s">
        <v>619</v>
      </c>
      <c r="AC10" s="612" t="s">
        <v>689</v>
      </c>
      <c r="AD10" s="504" t="s">
        <v>686</v>
      </c>
    </row>
    <row r="11" spans="1:30" ht="11.4" customHeight="1">
      <c r="B11" s="27" t="str">
        <f t="shared" si="0"/>
        <v>Self-DirectionFamily Supports WaiverAssistive Technology and Services</v>
      </c>
      <c r="C11" s="27" t="s">
        <v>45</v>
      </c>
      <c r="D11" s="27" t="s">
        <v>199</v>
      </c>
      <c r="E11" s="27" t="s">
        <v>127</v>
      </c>
      <c r="F11" s="27" t="s">
        <v>154</v>
      </c>
      <c r="G11" s="27" t="s">
        <v>49</v>
      </c>
      <c r="H11" s="27" t="s">
        <v>142</v>
      </c>
      <c r="I11" s="38" t="s">
        <v>212</v>
      </c>
      <c r="J11" s="65" t="str">
        <f t="shared" si="1"/>
        <v/>
      </c>
      <c r="K11" s="38" t="str">
        <f>IF(I11&lt;&gt;"",I11*(1+J11),I11)</f>
        <v/>
      </c>
      <c r="L11" s="65" t="str">
        <f t="shared" si="2"/>
        <v/>
      </c>
      <c r="M11" s="388" t="str">
        <f>IF(K11&lt;&gt;"",K11*(1+L11),K11)</f>
        <v/>
      </c>
      <c r="N11" s="65" t="str">
        <f t="shared" si="3"/>
        <v/>
      </c>
      <c r="O11" s="388" t="str">
        <f>IF(M11&lt;&gt;"",M11*(1+N11),M11)</f>
        <v/>
      </c>
      <c r="P11" s="388" t="str">
        <f t="shared" si="4"/>
        <v/>
      </c>
      <c r="Q11" s="388" t="str">
        <f t="shared" si="5"/>
        <v/>
      </c>
      <c r="R11" s="388"/>
      <c r="S11" s="389">
        <v>12000</v>
      </c>
      <c r="V11" s="474" t="s">
        <v>615</v>
      </c>
      <c r="W11" s="474" t="s">
        <v>621</v>
      </c>
      <c r="X11" s="474" t="s">
        <v>616</v>
      </c>
      <c r="Y11" s="474" t="s">
        <v>617</v>
      </c>
      <c r="Z11" s="177">
        <v>44743</v>
      </c>
      <c r="AA11" s="177">
        <v>45108</v>
      </c>
      <c r="AB11" s="177" t="s">
        <v>816</v>
      </c>
      <c r="AC11" t="s">
        <v>685</v>
      </c>
      <c r="AD11" s="505" t="s">
        <v>519</v>
      </c>
    </row>
    <row r="12" spans="1:30" ht="11.4" customHeight="1">
      <c r="B12" s="27" t="str">
        <f t="shared" si="0"/>
        <v>TraditionalCommunity Pathways WaiverAssistive Technology and Services</v>
      </c>
      <c r="C12" s="27" t="s">
        <v>45</v>
      </c>
      <c r="D12" s="27" t="s">
        <v>298</v>
      </c>
      <c r="E12" s="27" t="s">
        <v>33</v>
      </c>
      <c r="F12" s="27" t="s">
        <v>154</v>
      </c>
      <c r="G12" s="27" t="s">
        <v>299</v>
      </c>
      <c r="H12" s="27" t="s">
        <v>142</v>
      </c>
      <c r="I12" s="38" t="s">
        <v>212</v>
      </c>
      <c r="J12" s="65" t="str">
        <f t="shared" si="1"/>
        <v/>
      </c>
      <c r="K12" s="38" t="str">
        <f>IF(I12&lt;&gt;"",I12*(1+J12),I12)</f>
        <v/>
      </c>
      <c r="L12" s="65" t="str">
        <f t="shared" si="2"/>
        <v/>
      </c>
      <c r="M12" s="388" t="str">
        <f>IF(K12&lt;&gt;"",K12*(1+L12),K12)</f>
        <v/>
      </c>
      <c r="N12" s="65" t="str">
        <f t="shared" si="3"/>
        <v/>
      </c>
      <c r="O12" s="388" t="str">
        <f>IF(M12&lt;&gt;"",M12*(1+N12),M12)</f>
        <v/>
      </c>
      <c r="P12" s="388" t="str">
        <f t="shared" si="4"/>
        <v/>
      </c>
      <c r="Q12" s="388" t="str">
        <f t="shared" si="5"/>
        <v/>
      </c>
      <c r="R12" s="388"/>
      <c r="S12" s="434">
        <v>10000000</v>
      </c>
      <c r="V12" t="s">
        <v>463</v>
      </c>
      <c r="W12" t="s">
        <v>680</v>
      </c>
      <c r="X12" t="s">
        <v>623</v>
      </c>
      <c r="Y12" t="s">
        <v>33</v>
      </c>
      <c r="Z12">
        <v>2330</v>
      </c>
      <c r="AA12">
        <v>2423</v>
      </c>
      <c r="AC12" s="500"/>
      <c r="AD12" s="501"/>
    </row>
    <row r="13" spans="1:30" ht="11.4" customHeight="1">
      <c r="B13" s="27" t="str">
        <f t="shared" si="0"/>
        <v>TraditionalCommunity Supports WaiverAssistive Technology and Services</v>
      </c>
      <c r="C13" s="27" t="s">
        <v>45</v>
      </c>
      <c r="D13" s="27" t="s">
        <v>200</v>
      </c>
      <c r="E13" s="27" t="s">
        <v>33</v>
      </c>
      <c r="F13" s="27" t="s">
        <v>154</v>
      </c>
      <c r="G13" s="27" t="s">
        <v>46</v>
      </c>
      <c r="H13" s="27" t="s">
        <v>142</v>
      </c>
      <c r="I13" s="38" t="s">
        <v>212</v>
      </c>
      <c r="J13" s="65" t="str">
        <f t="shared" si="1"/>
        <v/>
      </c>
      <c r="K13" s="38" t="str">
        <f>IF(I13&lt;&gt;"",I13*(1+J13),I13)</f>
        <v/>
      </c>
      <c r="L13" s="65" t="str">
        <f t="shared" si="2"/>
        <v/>
      </c>
      <c r="M13" s="388" t="str">
        <f>IF(K13&lt;&gt;"",K13*(1+L13),K13)</f>
        <v/>
      </c>
      <c r="N13" s="65" t="str">
        <f t="shared" si="3"/>
        <v/>
      </c>
      <c r="O13" s="388" t="str">
        <f>IF(M13&lt;&gt;"",M13*(1+N13),M13)</f>
        <v/>
      </c>
      <c r="P13" s="388" t="str">
        <f t="shared" si="4"/>
        <v/>
      </c>
      <c r="Q13" s="388" t="str">
        <f t="shared" si="5"/>
        <v/>
      </c>
      <c r="R13" s="388"/>
      <c r="S13" s="389">
        <v>25000</v>
      </c>
      <c r="V13" t="s">
        <v>365</v>
      </c>
      <c r="W13" t="s">
        <v>680</v>
      </c>
      <c r="X13" t="s">
        <v>623</v>
      </c>
      <c r="Y13" t="s">
        <v>33</v>
      </c>
      <c r="Z13">
        <v>2330</v>
      </c>
      <c r="AA13">
        <v>2423</v>
      </c>
      <c r="AC13" s="500"/>
      <c r="AD13" s="501"/>
    </row>
    <row r="14" spans="1:30" ht="11.25" customHeight="1">
      <c r="B14" s="18" t="str">
        <f t="shared" si="0"/>
        <v>TraditionalFamily Supports WaiverAssistive Technology and Services</v>
      </c>
      <c r="C14" s="18" t="s">
        <v>45</v>
      </c>
      <c r="D14" s="18" t="s">
        <v>199</v>
      </c>
      <c r="E14" s="18" t="s">
        <v>33</v>
      </c>
      <c r="F14" s="18" t="s">
        <v>154</v>
      </c>
      <c r="G14" s="18" t="s">
        <v>48</v>
      </c>
      <c r="H14" s="18" t="s">
        <v>142</v>
      </c>
      <c r="I14" s="36" t="s">
        <v>212</v>
      </c>
      <c r="J14" s="96" t="str">
        <f t="shared" si="1"/>
        <v/>
      </c>
      <c r="K14" s="36" t="str">
        <f>IF(I14&lt;&gt;"",I14*(1+J14),I14)</f>
        <v/>
      </c>
      <c r="L14" s="96" t="str">
        <f t="shared" si="2"/>
        <v/>
      </c>
      <c r="M14" s="388" t="str">
        <f>IF(K14&lt;&gt;"",K14*(1+L14),K14)</f>
        <v/>
      </c>
      <c r="N14" s="96" t="str">
        <f t="shared" si="3"/>
        <v/>
      </c>
      <c r="O14" s="388" t="str">
        <f>IF(M14&lt;&gt;"",M14*(1+N14),M14)</f>
        <v/>
      </c>
      <c r="P14" s="388" t="str">
        <f t="shared" si="4"/>
        <v/>
      </c>
      <c r="Q14" s="388" t="str">
        <f t="shared" si="5"/>
        <v/>
      </c>
      <c r="R14" s="388"/>
      <c r="S14" s="389">
        <v>12000</v>
      </c>
      <c r="V14" t="s">
        <v>332</v>
      </c>
      <c r="W14" t="s">
        <v>657</v>
      </c>
      <c r="X14" t="s">
        <v>623</v>
      </c>
      <c r="Y14" t="s">
        <v>33</v>
      </c>
      <c r="Z14">
        <v>67.78</v>
      </c>
      <c r="AA14">
        <v>70.489999999999995</v>
      </c>
      <c r="AC14" s="500"/>
      <c r="AD14" s="501"/>
    </row>
    <row r="15" spans="1:30" ht="11.4" customHeight="1">
      <c r="B15" s="18" t="str">
        <f t="shared" si="0"/>
        <v>TraditionalCommunity Pathways WaiverBSS - Behavioral Assessment (Ended)</v>
      </c>
      <c r="C15" s="27" t="s">
        <v>466</v>
      </c>
      <c r="D15" s="18" t="s">
        <v>298</v>
      </c>
      <c r="E15" s="18" t="s">
        <v>33</v>
      </c>
      <c r="F15" s="18" t="s">
        <v>154</v>
      </c>
      <c r="G15" s="18" t="s">
        <v>404</v>
      </c>
      <c r="H15" s="27" t="s">
        <v>132</v>
      </c>
      <c r="I15" s="38">
        <v>1200</v>
      </c>
      <c r="J15" s="96">
        <v>0</v>
      </c>
      <c r="K15" s="38">
        <f t="shared" ref="K15:K21" si="6">ROUND(IF(I15&lt;&gt;"",I15*(1+J15),I15),2)</f>
        <v>1200</v>
      </c>
      <c r="L15" s="96">
        <v>0</v>
      </c>
      <c r="M15" s="388"/>
      <c r="N15" s="96">
        <v>0</v>
      </c>
      <c r="O15" s="388"/>
      <c r="P15" s="388" t="str">
        <f t="shared" si="4"/>
        <v/>
      </c>
      <c r="Q15" s="388" t="str">
        <f t="shared" si="5"/>
        <v/>
      </c>
      <c r="R15" s="388"/>
      <c r="S15" s="389"/>
      <c r="V15" t="s">
        <v>410</v>
      </c>
      <c r="W15" t="s">
        <v>657</v>
      </c>
      <c r="X15" t="s">
        <v>627</v>
      </c>
      <c r="Y15" t="s">
        <v>33</v>
      </c>
      <c r="Z15">
        <v>67.78</v>
      </c>
      <c r="AA15">
        <v>70.489999999999995</v>
      </c>
      <c r="AC15" s="500"/>
      <c r="AD15" s="501"/>
    </row>
    <row r="16" spans="1:30" ht="11.25" customHeight="1">
      <c r="B16" s="18" t="str">
        <f t="shared" si="0"/>
        <v>Self-DirectionCommunity Pathways WaiverBSS - Behavioral Assessment (New)</v>
      </c>
      <c r="C16" s="27" t="s">
        <v>398</v>
      </c>
      <c r="D16" s="18" t="s">
        <v>298</v>
      </c>
      <c r="E16" s="18" t="s">
        <v>127</v>
      </c>
      <c r="F16" s="18" t="s">
        <v>154</v>
      </c>
      <c r="G16" s="18" t="s">
        <v>302</v>
      </c>
      <c r="H16" s="18" t="s">
        <v>132</v>
      </c>
      <c r="I16" s="36">
        <v>786.94</v>
      </c>
      <c r="J16" s="96">
        <f t="shared" ref="J16:J21" si="7">IF(I16&lt;&gt;"",$J$5,"")</f>
        <v>3.5000000000000003E-2</v>
      </c>
      <c r="K16" s="36">
        <f t="shared" si="6"/>
        <v>814.48</v>
      </c>
      <c r="L16" s="96">
        <f t="shared" ref="L16:L21" si="8">IF(K16&lt;&gt;"",$L$5,"")</f>
        <v>3.5000000000000003E-2</v>
      </c>
      <c r="M16" s="388">
        <f t="shared" ref="M16:M21" si="9">ROUND(IF(K16&lt;&gt;"",K16*(1+L16),K16),2)</f>
        <v>842.99</v>
      </c>
      <c r="N16" s="96">
        <f t="shared" ref="N16:N27" si="10">IF(M16&lt;&gt;"",$N$5,"")</f>
        <v>0.04</v>
      </c>
      <c r="O16" s="450">
        <v>1477.54</v>
      </c>
      <c r="P16" s="388" t="str">
        <f t="shared" si="4"/>
        <v/>
      </c>
      <c r="Q16" s="388" t="str">
        <f t="shared" si="5"/>
        <v/>
      </c>
      <c r="R16" s="388"/>
      <c r="S16" s="389"/>
      <c r="V16" t="s">
        <v>411</v>
      </c>
      <c r="W16" t="s">
        <v>657</v>
      </c>
      <c r="X16" t="s">
        <v>627</v>
      </c>
      <c r="Y16" t="s">
        <v>127</v>
      </c>
      <c r="Z16">
        <v>67.78</v>
      </c>
      <c r="AA16">
        <v>70.489999999999995</v>
      </c>
      <c r="AC16" s="500"/>
      <c r="AD16" s="501"/>
    </row>
    <row r="17" spans="2:30" ht="11.4" customHeight="1">
      <c r="B17" s="27" t="str">
        <f t="shared" si="0"/>
        <v>Self-DirectionCommunity Supports WaiverBSS - Behavioral Assessment (New)</v>
      </c>
      <c r="C17" s="27" t="s">
        <v>398</v>
      </c>
      <c r="D17" s="27" t="s">
        <v>200</v>
      </c>
      <c r="E17" s="27" t="s">
        <v>127</v>
      </c>
      <c r="F17" s="27" t="s">
        <v>154</v>
      </c>
      <c r="G17" s="27" t="s">
        <v>51</v>
      </c>
      <c r="H17" s="27" t="s">
        <v>132</v>
      </c>
      <c r="I17" s="38">
        <v>786.94</v>
      </c>
      <c r="J17" s="65">
        <f t="shared" si="7"/>
        <v>3.5000000000000003E-2</v>
      </c>
      <c r="K17" s="38">
        <f t="shared" si="6"/>
        <v>814.48</v>
      </c>
      <c r="L17" s="65">
        <f t="shared" si="8"/>
        <v>3.5000000000000003E-2</v>
      </c>
      <c r="M17" s="388">
        <f t="shared" si="9"/>
        <v>842.99</v>
      </c>
      <c r="N17" s="65">
        <f t="shared" si="10"/>
        <v>0.04</v>
      </c>
      <c r="O17" s="450">
        <v>1477.54</v>
      </c>
      <c r="P17" s="388">
        <f t="shared" si="4"/>
        <v>1595.74</v>
      </c>
      <c r="Q17" s="388">
        <f t="shared" si="5"/>
        <v>1659.57</v>
      </c>
      <c r="R17" s="388">
        <f>+Q17*(1+$R$4)</f>
        <v>1725.9528</v>
      </c>
      <c r="S17" s="389" t="s">
        <v>212</v>
      </c>
      <c r="T17" s="262">
        <f>IF(ISERR(Q17/P17-1),"",Q17/P17-1)</f>
        <v>4.0000250667401982E-2</v>
      </c>
      <c r="V17" t="s">
        <v>412</v>
      </c>
      <c r="W17" t="s">
        <v>657</v>
      </c>
      <c r="X17" t="s">
        <v>630</v>
      </c>
      <c r="Y17" t="s">
        <v>33</v>
      </c>
      <c r="Z17">
        <v>67.78</v>
      </c>
      <c r="AA17">
        <v>70.489999999999995</v>
      </c>
      <c r="AC17" s="556"/>
      <c r="AD17" s="501"/>
    </row>
    <row r="18" spans="2:30" ht="11.4" customHeight="1">
      <c r="B18" s="18" t="str">
        <f t="shared" si="0"/>
        <v>Self-DirectionFamily Supports WaiverBSS - Behavioral Assessment (New)</v>
      </c>
      <c r="C18" s="27" t="s">
        <v>398</v>
      </c>
      <c r="D18" s="18" t="s">
        <v>199</v>
      </c>
      <c r="E18" s="18" t="s">
        <v>127</v>
      </c>
      <c r="F18" s="18" t="s">
        <v>154</v>
      </c>
      <c r="G18" s="18" t="s">
        <v>53</v>
      </c>
      <c r="H18" s="18" t="s">
        <v>132</v>
      </c>
      <c r="I18" s="36">
        <v>786.94</v>
      </c>
      <c r="J18" s="96">
        <f t="shared" si="7"/>
        <v>3.5000000000000003E-2</v>
      </c>
      <c r="K18" s="36">
        <f t="shared" si="6"/>
        <v>814.48</v>
      </c>
      <c r="L18" s="96">
        <f t="shared" si="8"/>
        <v>3.5000000000000003E-2</v>
      </c>
      <c r="M18" s="388">
        <f t="shared" si="9"/>
        <v>842.99</v>
      </c>
      <c r="N18" s="96">
        <f t="shared" si="10"/>
        <v>0.04</v>
      </c>
      <c r="O18" s="450">
        <v>1477.54</v>
      </c>
      <c r="P18" s="388">
        <f t="shared" si="4"/>
        <v>1595.74</v>
      </c>
      <c r="Q18" s="388">
        <f t="shared" si="5"/>
        <v>1659.57</v>
      </c>
      <c r="R18" s="388">
        <f t="shared" ref="R18:R27" si="11">+Q18*(1+$R$4)</f>
        <v>1725.9528</v>
      </c>
      <c r="S18" s="389" t="s">
        <v>212</v>
      </c>
      <c r="T18" s="262">
        <f t="shared" ref="T18:T81" si="12">IF(ISERR(Q18/P18-1),"",Q18/P18-1)</f>
        <v>4.0000250667401982E-2</v>
      </c>
      <c r="V18" t="s">
        <v>413</v>
      </c>
      <c r="W18" t="s">
        <v>657</v>
      </c>
      <c r="X18" t="s">
        <v>630</v>
      </c>
      <c r="Y18" t="s">
        <v>127</v>
      </c>
      <c r="Z18">
        <v>67.78</v>
      </c>
      <c r="AA18">
        <v>70.489999999999995</v>
      </c>
      <c r="AC18" s="556"/>
      <c r="AD18" s="501"/>
    </row>
    <row r="19" spans="2:30" ht="11.4" customHeight="1">
      <c r="B19" s="18" t="str">
        <f t="shared" si="0"/>
        <v>TraditionalCommunity Pathways WaiverBSS - Behavioral Assessment (New)</v>
      </c>
      <c r="C19" s="27" t="s">
        <v>398</v>
      </c>
      <c r="D19" s="27" t="s">
        <v>298</v>
      </c>
      <c r="E19" s="27" t="s">
        <v>33</v>
      </c>
      <c r="F19" s="27" t="s">
        <v>154</v>
      </c>
      <c r="G19" s="27" t="s">
        <v>301</v>
      </c>
      <c r="H19" s="27" t="s">
        <v>132</v>
      </c>
      <c r="I19" s="38">
        <v>786.94</v>
      </c>
      <c r="J19" s="65">
        <f t="shared" si="7"/>
        <v>3.5000000000000003E-2</v>
      </c>
      <c r="K19" s="38">
        <f t="shared" si="6"/>
        <v>814.48</v>
      </c>
      <c r="L19" s="65">
        <f t="shared" si="8"/>
        <v>3.5000000000000003E-2</v>
      </c>
      <c r="M19" s="388">
        <f t="shared" si="9"/>
        <v>842.99</v>
      </c>
      <c r="N19" s="65">
        <f t="shared" si="10"/>
        <v>0.04</v>
      </c>
      <c r="O19" s="450">
        <v>1477.54</v>
      </c>
      <c r="P19" s="388">
        <f t="shared" si="4"/>
        <v>1595.74</v>
      </c>
      <c r="Q19" s="388">
        <f t="shared" si="5"/>
        <v>1659.57</v>
      </c>
      <c r="R19" s="388">
        <f t="shared" si="11"/>
        <v>1725.9528</v>
      </c>
      <c r="S19" s="389"/>
      <c r="T19" s="262">
        <f t="shared" si="12"/>
        <v>4.0000250667401982E-2</v>
      </c>
      <c r="V19" t="s">
        <v>301</v>
      </c>
      <c r="W19" t="s">
        <v>624</v>
      </c>
      <c r="X19" t="s">
        <v>623</v>
      </c>
      <c r="Y19" t="s">
        <v>33</v>
      </c>
      <c r="Z19">
        <v>1595.74</v>
      </c>
      <c r="AA19">
        <v>1659.57</v>
      </c>
      <c r="AC19" s="262"/>
      <c r="AD19" s="501">
        <v>67.78</v>
      </c>
    </row>
    <row r="20" spans="2:30" ht="11.25" customHeight="1">
      <c r="B20" s="18" t="str">
        <f t="shared" si="0"/>
        <v>TraditionalCommunity Supports WaiverBSS - Behavioral Assessment (New)</v>
      </c>
      <c r="C20" s="27" t="s">
        <v>398</v>
      </c>
      <c r="D20" s="18" t="s">
        <v>200</v>
      </c>
      <c r="E20" s="18" t="s">
        <v>33</v>
      </c>
      <c r="F20" s="18" t="s">
        <v>154</v>
      </c>
      <c r="G20" s="18" t="s">
        <v>50</v>
      </c>
      <c r="H20" s="18" t="s">
        <v>132</v>
      </c>
      <c r="I20" s="36">
        <v>786.94</v>
      </c>
      <c r="J20" s="96">
        <f t="shared" si="7"/>
        <v>3.5000000000000003E-2</v>
      </c>
      <c r="K20" s="36">
        <f t="shared" si="6"/>
        <v>814.48</v>
      </c>
      <c r="L20" s="96">
        <f t="shared" si="8"/>
        <v>3.5000000000000003E-2</v>
      </c>
      <c r="M20" s="388">
        <f t="shared" si="9"/>
        <v>842.99</v>
      </c>
      <c r="N20" s="96">
        <f t="shared" si="10"/>
        <v>0.04</v>
      </c>
      <c r="O20" s="450">
        <v>1477.54</v>
      </c>
      <c r="P20" s="388">
        <f t="shared" si="4"/>
        <v>1595.74</v>
      </c>
      <c r="Q20" s="388">
        <f t="shared" si="5"/>
        <v>1659.57</v>
      </c>
      <c r="R20" s="388">
        <f t="shared" si="11"/>
        <v>1725.9528</v>
      </c>
      <c r="S20" s="389" t="s">
        <v>212</v>
      </c>
      <c r="T20" s="262">
        <f t="shared" si="12"/>
        <v>4.0000250667401982E-2</v>
      </c>
      <c r="V20" t="s">
        <v>50</v>
      </c>
      <c r="W20" t="s">
        <v>624</v>
      </c>
      <c r="X20" t="s">
        <v>627</v>
      </c>
      <c r="Y20" t="s">
        <v>33</v>
      </c>
      <c r="Z20">
        <v>1595.74</v>
      </c>
      <c r="AA20">
        <v>1659.57</v>
      </c>
      <c r="AC20" s="262"/>
      <c r="AD20" s="501"/>
    </row>
    <row r="21" spans="2:30" ht="11.4" customHeight="1">
      <c r="B21" s="18" t="str">
        <f t="shared" si="0"/>
        <v>TraditionalFamily Supports WaiverBSS - Behavioral Assessment (New)</v>
      </c>
      <c r="C21" s="27" t="s">
        <v>398</v>
      </c>
      <c r="D21" s="27" t="s">
        <v>199</v>
      </c>
      <c r="E21" s="27" t="s">
        <v>33</v>
      </c>
      <c r="F21" s="27" t="s">
        <v>154</v>
      </c>
      <c r="G21" s="27" t="s">
        <v>52</v>
      </c>
      <c r="H21" s="27" t="s">
        <v>132</v>
      </c>
      <c r="I21" s="38">
        <v>786.94</v>
      </c>
      <c r="J21" s="65">
        <f t="shared" si="7"/>
        <v>3.5000000000000003E-2</v>
      </c>
      <c r="K21" s="38">
        <f t="shared" si="6"/>
        <v>814.48</v>
      </c>
      <c r="L21" s="65">
        <f t="shared" si="8"/>
        <v>3.5000000000000003E-2</v>
      </c>
      <c r="M21" s="388">
        <f t="shared" si="9"/>
        <v>842.99</v>
      </c>
      <c r="N21" s="65">
        <f t="shared" si="10"/>
        <v>0.04</v>
      </c>
      <c r="O21" s="450">
        <v>1477.54</v>
      </c>
      <c r="P21" s="388">
        <f t="shared" si="4"/>
        <v>1595.74</v>
      </c>
      <c r="Q21" s="388">
        <f t="shared" si="5"/>
        <v>1659.57</v>
      </c>
      <c r="R21" s="388">
        <f t="shared" si="11"/>
        <v>1725.9528</v>
      </c>
      <c r="S21" s="389" t="s">
        <v>212</v>
      </c>
      <c r="T21" s="262">
        <f t="shared" si="12"/>
        <v>4.0000250667401982E-2</v>
      </c>
      <c r="V21" t="s">
        <v>51</v>
      </c>
      <c r="W21" t="s">
        <v>624</v>
      </c>
      <c r="X21" t="s">
        <v>627</v>
      </c>
      <c r="Y21" t="s">
        <v>127</v>
      </c>
      <c r="Z21">
        <v>1595.74</v>
      </c>
      <c r="AA21">
        <v>1659.57</v>
      </c>
      <c r="AC21" s="262"/>
      <c r="AD21" s="501"/>
    </row>
    <row r="22" spans="2:30" ht="11.4" customHeight="1">
      <c r="B22" s="435" t="str">
        <f t="shared" si="0"/>
        <v xml:space="preserve">Self-DirectionCommunity Pathways WaiverBSS - Behavioral Consultation </v>
      </c>
      <c r="C22" s="435" t="s">
        <v>515</v>
      </c>
      <c r="D22" s="435" t="s">
        <v>298</v>
      </c>
      <c r="E22" s="435" t="s">
        <v>127</v>
      </c>
      <c r="F22" s="435" t="s">
        <v>154</v>
      </c>
      <c r="G22" s="435" t="s">
        <v>473</v>
      </c>
      <c r="H22" s="435" t="s">
        <v>133</v>
      </c>
      <c r="I22" s="436"/>
      <c r="J22" s="437"/>
      <c r="K22" s="436"/>
      <c r="L22" s="437"/>
      <c r="M22" s="436">
        <v>26.34</v>
      </c>
      <c r="N22" s="437">
        <f t="shared" si="10"/>
        <v>0.04</v>
      </c>
      <c r="O22" s="450">
        <v>33.61</v>
      </c>
      <c r="P22" s="388">
        <f t="shared" si="4"/>
        <v>36.299999999999997</v>
      </c>
      <c r="Q22" s="388">
        <f t="shared" si="5"/>
        <v>37.75</v>
      </c>
      <c r="R22" s="388">
        <f t="shared" si="11"/>
        <v>39.26</v>
      </c>
      <c r="S22" s="439"/>
      <c r="T22" s="262">
        <f t="shared" si="12"/>
        <v>3.9944903581267344E-2</v>
      </c>
      <c r="V22" t="s">
        <v>52</v>
      </c>
      <c r="W22" t="s">
        <v>624</v>
      </c>
      <c r="X22" t="s">
        <v>630</v>
      </c>
      <c r="Y22" t="s">
        <v>33</v>
      </c>
      <c r="Z22">
        <v>1595.74</v>
      </c>
      <c r="AA22">
        <v>1659.57</v>
      </c>
      <c r="AC22" s="262"/>
      <c r="AD22" s="501"/>
    </row>
    <row r="23" spans="2:30" ht="11.4" customHeight="1">
      <c r="B23" s="435" t="str">
        <f t="shared" si="0"/>
        <v xml:space="preserve">Self-DirectionCommunity Supports WaiverBSS - Behavioral Consultation </v>
      </c>
      <c r="C23" s="435" t="s">
        <v>515</v>
      </c>
      <c r="D23" s="435" t="s">
        <v>200</v>
      </c>
      <c r="E23" s="435" t="s">
        <v>127</v>
      </c>
      <c r="F23" s="435" t="s">
        <v>154</v>
      </c>
      <c r="G23" s="435" t="s">
        <v>468</v>
      </c>
      <c r="H23" s="435" t="s">
        <v>133</v>
      </c>
      <c r="I23" s="436"/>
      <c r="J23" s="437"/>
      <c r="K23" s="436"/>
      <c r="L23" s="437"/>
      <c r="M23" s="436">
        <v>26.34</v>
      </c>
      <c r="N23" s="438">
        <f t="shared" si="10"/>
        <v>0.04</v>
      </c>
      <c r="O23" s="450">
        <v>33.61</v>
      </c>
      <c r="P23" s="388">
        <f t="shared" si="4"/>
        <v>36.299999999999997</v>
      </c>
      <c r="Q23" s="388">
        <f t="shared" si="5"/>
        <v>37.75</v>
      </c>
      <c r="R23" s="388">
        <f t="shared" si="11"/>
        <v>39.26</v>
      </c>
      <c r="S23" s="439"/>
      <c r="T23" s="262">
        <f t="shared" si="12"/>
        <v>3.9944903581267344E-2</v>
      </c>
      <c r="V23" t="s">
        <v>53</v>
      </c>
      <c r="W23" t="s">
        <v>624</v>
      </c>
      <c r="X23" t="s">
        <v>630</v>
      </c>
      <c r="Y23" t="s">
        <v>127</v>
      </c>
      <c r="Z23">
        <v>1595.74</v>
      </c>
      <c r="AA23">
        <v>1659.57</v>
      </c>
      <c r="AC23" s="262"/>
      <c r="AD23" s="501"/>
    </row>
    <row r="24" spans="2:30" ht="11.4" customHeight="1">
      <c r="B24" s="435" t="str">
        <f t="shared" si="0"/>
        <v xml:space="preserve">Self-DirectionFamily Supports WaiverBSS - Behavioral Consultation </v>
      </c>
      <c r="C24" s="435" t="s">
        <v>515</v>
      </c>
      <c r="D24" s="435" t="s">
        <v>199</v>
      </c>
      <c r="E24" s="435" t="s">
        <v>127</v>
      </c>
      <c r="F24" s="435" t="s">
        <v>154</v>
      </c>
      <c r="G24" s="435" t="s">
        <v>470</v>
      </c>
      <c r="H24" s="435" t="s">
        <v>133</v>
      </c>
      <c r="I24" s="436"/>
      <c r="J24" s="437"/>
      <c r="K24" s="436"/>
      <c r="L24" s="437"/>
      <c r="M24" s="436">
        <v>26.34</v>
      </c>
      <c r="N24" s="438">
        <f t="shared" si="10"/>
        <v>0.04</v>
      </c>
      <c r="O24" s="450">
        <v>33.61</v>
      </c>
      <c r="P24" s="388">
        <f t="shared" si="4"/>
        <v>36.299999999999997</v>
      </c>
      <c r="Q24" s="388">
        <f t="shared" si="5"/>
        <v>37.75</v>
      </c>
      <c r="R24" s="388">
        <f t="shared" si="11"/>
        <v>39.26</v>
      </c>
      <c r="S24" s="439"/>
      <c r="T24" s="262">
        <f t="shared" si="12"/>
        <v>3.9944903581267344E-2</v>
      </c>
      <c r="V24" t="s">
        <v>473</v>
      </c>
      <c r="W24" t="s">
        <v>624</v>
      </c>
      <c r="X24" t="s">
        <v>623</v>
      </c>
      <c r="Y24" t="s">
        <v>127</v>
      </c>
      <c r="Z24">
        <v>36.299999999999997</v>
      </c>
      <c r="AA24">
        <v>37.75</v>
      </c>
      <c r="AC24" s="501">
        <v>1477.54</v>
      </c>
      <c r="AD24" s="501">
        <v>1595.74</v>
      </c>
    </row>
    <row r="25" spans="2:30" ht="11.4" customHeight="1">
      <c r="B25" s="435" t="str">
        <f t="shared" si="0"/>
        <v xml:space="preserve">TraditionalCommunity Pathways WaiverBSS - Behavioral Consultation </v>
      </c>
      <c r="C25" s="435" t="s">
        <v>515</v>
      </c>
      <c r="D25" s="435" t="s">
        <v>298</v>
      </c>
      <c r="E25" s="435" t="s">
        <v>33</v>
      </c>
      <c r="F25" s="435" t="s">
        <v>154</v>
      </c>
      <c r="G25" s="435" t="s">
        <v>472</v>
      </c>
      <c r="H25" s="435" t="s">
        <v>133</v>
      </c>
      <c r="I25" s="436"/>
      <c r="J25" s="437"/>
      <c r="K25" s="436"/>
      <c r="L25" s="437"/>
      <c r="M25" s="436">
        <v>26.34</v>
      </c>
      <c r="N25" s="438">
        <f t="shared" si="10"/>
        <v>0.04</v>
      </c>
      <c r="O25" s="450">
        <v>33.61</v>
      </c>
      <c r="P25" s="388">
        <f t="shared" si="4"/>
        <v>36.299999999999997</v>
      </c>
      <c r="Q25" s="388">
        <f t="shared" si="5"/>
        <v>37.75</v>
      </c>
      <c r="R25" s="388">
        <f t="shared" si="11"/>
        <v>39.26</v>
      </c>
      <c r="S25" s="439"/>
      <c r="T25" s="262">
        <f t="shared" si="12"/>
        <v>3.9944903581267344E-2</v>
      </c>
      <c r="V25" t="s">
        <v>472</v>
      </c>
      <c r="W25" t="s">
        <v>624</v>
      </c>
      <c r="X25" t="s">
        <v>623</v>
      </c>
      <c r="Y25" t="s">
        <v>33</v>
      </c>
      <c r="Z25">
        <v>36.299999999999997</v>
      </c>
      <c r="AA25">
        <v>37.75</v>
      </c>
      <c r="AC25" s="262"/>
      <c r="AD25" s="501"/>
    </row>
    <row r="26" spans="2:30" ht="11.4" customHeight="1">
      <c r="B26" s="435" t="str">
        <f t="shared" si="0"/>
        <v xml:space="preserve">TraditionalCommunity Supports WaiverBSS - Behavioral Consultation </v>
      </c>
      <c r="C26" s="435" t="s">
        <v>515</v>
      </c>
      <c r="D26" s="435" t="s">
        <v>200</v>
      </c>
      <c r="E26" s="435" t="s">
        <v>33</v>
      </c>
      <c r="F26" s="435" t="s">
        <v>154</v>
      </c>
      <c r="G26" s="435" t="s">
        <v>469</v>
      </c>
      <c r="H26" s="435" t="s">
        <v>133</v>
      </c>
      <c r="I26" s="436"/>
      <c r="J26" s="437"/>
      <c r="K26" s="436"/>
      <c r="L26" s="437"/>
      <c r="M26" s="436">
        <v>26.34</v>
      </c>
      <c r="N26" s="437">
        <f t="shared" si="10"/>
        <v>0.04</v>
      </c>
      <c r="O26" s="450">
        <v>33.61</v>
      </c>
      <c r="P26" s="388">
        <f t="shared" si="4"/>
        <v>36.299999999999997</v>
      </c>
      <c r="Q26" s="388">
        <f t="shared" si="5"/>
        <v>37.75</v>
      </c>
      <c r="R26" s="388">
        <f t="shared" si="11"/>
        <v>39.26</v>
      </c>
      <c r="S26" s="439"/>
      <c r="T26" s="262">
        <f t="shared" si="12"/>
        <v>3.9944903581267344E-2</v>
      </c>
      <c r="V26" t="s">
        <v>305</v>
      </c>
      <c r="W26" t="s">
        <v>624</v>
      </c>
      <c r="X26" t="s">
        <v>623</v>
      </c>
      <c r="Y26" t="s">
        <v>33</v>
      </c>
      <c r="Z26">
        <v>1595.74</v>
      </c>
      <c r="AA26">
        <v>1659.57</v>
      </c>
      <c r="AC26" s="262"/>
      <c r="AD26" s="501"/>
    </row>
    <row r="27" spans="2:30" ht="11.4" customHeight="1">
      <c r="B27" s="435" t="str">
        <f t="shared" si="0"/>
        <v xml:space="preserve">TraditionalFamily Supports WaiverBSS - Behavioral Consultation </v>
      </c>
      <c r="C27" s="435" t="s">
        <v>515</v>
      </c>
      <c r="D27" s="435" t="s">
        <v>199</v>
      </c>
      <c r="E27" s="435" t="s">
        <v>33</v>
      </c>
      <c r="F27" s="435" t="s">
        <v>154</v>
      </c>
      <c r="G27" s="435" t="s">
        <v>471</v>
      </c>
      <c r="H27" s="435" t="s">
        <v>133</v>
      </c>
      <c r="I27" s="436"/>
      <c r="J27" s="437"/>
      <c r="K27" s="436"/>
      <c r="L27" s="437"/>
      <c r="M27" s="436">
        <v>26.34</v>
      </c>
      <c r="N27" s="437">
        <f t="shared" si="10"/>
        <v>0.04</v>
      </c>
      <c r="O27" s="450">
        <v>33.61</v>
      </c>
      <c r="P27" s="388">
        <f t="shared" si="4"/>
        <v>36.299999999999997</v>
      </c>
      <c r="Q27" s="388">
        <f t="shared" si="5"/>
        <v>37.75</v>
      </c>
      <c r="R27" s="388">
        <f t="shared" si="11"/>
        <v>39.26</v>
      </c>
      <c r="S27" s="439"/>
      <c r="T27" s="262">
        <f t="shared" si="12"/>
        <v>3.9944903581267344E-2</v>
      </c>
      <c r="V27" t="s">
        <v>58</v>
      </c>
      <c r="W27" t="s">
        <v>624</v>
      </c>
      <c r="X27" t="s">
        <v>627</v>
      </c>
      <c r="Y27" t="s">
        <v>33</v>
      </c>
      <c r="Z27">
        <v>1595.74</v>
      </c>
      <c r="AA27">
        <v>1659.57</v>
      </c>
      <c r="AC27" s="262"/>
      <c r="AD27" s="501"/>
    </row>
    <row r="28" spans="2:30" ht="11.25" customHeight="1">
      <c r="B28" s="18" t="str">
        <f t="shared" si="0"/>
        <v>TraditionalCommunity Pathways WaiverBSS - Behavioral Consultation (Ended)</v>
      </c>
      <c r="C28" s="18" t="s">
        <v>464</v>
      </c>
      <c r="D28" s="18" t="s">
        <v>298</v>
      </c>
      <c r="E28" s="18" t="s">
        <v>33</v>
      </c>
      <c r="F28" s="18" t="s">
        <v>154</v>
      </c>
      <c r="G28" s="18" t="s">
        <v>401</v>
      </c>
      <c r="H28" s="18" t="s">
        <v>402</v>
      </c>
      <c r="I28" s="38">
        <v>75</v>
      </c>
      <c r="J28" s="96">
        <v>0</v>
      </c>
      <c r="K28" s="38">
        <f t="shared" ref="K28:K47" si="13">ROUND(IF(I28&lt;&gt;"",I28*(1+J28),I28),2)</f>
        <v>75</v>
      </c>
      <c r="L28" s="96">
        <v>0</v>
      </c>
      <c r="M28" s="388"/>
      <c r="N28" s="96">
        <v>0</v>
      </c>
      <c r="O28" s="388"/>
      <c r="P28" s="388" t="str">
        <f t="shared" si="4"/>
        <v/>
      </c>
      <c r="Q28" s="388" t="str">
        <f t="shared" si="5"/>
        <v/>
      </c>
      <c r="R28" s="388"/>
      <c r="S28" s="389"/>
      <c r="T28" s="262" t="str">
        <f t="shared" si="12"/>
        <v/>
      </c>
      <c r="V28" t="s">
        <v>59</v>
      </c>
      <c r="W28" t="s">
        <v>624</v>
      </c>
      <c r="X28" t="s">
        <v>627</v>
      </c>
      <c r="Y28" t="s">
        <v>127</v>
      </c>
      <c r="Z28">
        <v>1595.74</v>
      </c>
      <c r="AA28">
        <v>1659.57</v>
      </c>
      <c r="AC28" s="262"/>
      <c r="AD28" s="501"/>
    </row>
    <row r="29" spans="2:30" s="440" customFormat="1" ht="11.4" customHeight="1">
      <c r="B29" s="27" t="str">
        <f t="shared" si="0"/>
        <v>Self-DirectionCommunity Pathways WaiverBSS - Behavioral Consultation (FY19)</v>
      </c>
      <c r="C29" s="18" t="s">
        <v>465</v>
      </c>
      <c r="D29" s="18" t="s">
        <v>298</v>
      </c>
      <c r="E29" s="18" t="s">
        <v>127</v>
      </c>
      <c r="F29" s="18" t="s">
        <v>154</v>
      </c>
      <c r="G29" s="18" t="s">
        <v>304</v>
      </c>
      <c r="H29" s="18" t="s">
        <v>129</v>
      </c>
      <c r="I29" s="36">
        <v>98.37</v>
      </c>
      <c r="J29" s="96">
        <f t="shared" ref="J29:J40" si="14">IF(I29&lt;&gt;"",$J$5,"")</f>
        <v>3.5000000000000003E-2</v>
      </c>
      <c r="K29" s="36">
        <f t="shared" si="13"/>
        <v>101.81</v>
      </c>
      <c r="L29" s="96">
        <f t="shared" ref="L29:L40" si="15">IF(K29&lt;&gt;"",$L$5,"")</f>
        <v>3.5000000000000003E-2</v>
      </c>
      <c r="M29" s="388"/>
      <c r="N29" s="96" t="str">
        <f t="shared" ref="N29:N34" si="16">IF(M29&lt;&gt;"",$L$5,"")</f>
        <v/>
      </c>
      <c r="O29" s="388"/>
      <c r="P29" s="388" t="str">
        <f t="shared" si="4"/>
        <v/>
      </c>
      <c r="Q29" s="388" t="str">
        <f t="shared" si="5"/>
        <v/>
      </c>
      <c r="R29" s="388"/>
      <c r="S29" s="389"/>
      <c r="T29" s="262" t="str">
        <f t="shared" si="12"/>
        <v/>
      </c>
      <c r="V29" t="s">
        <v>60</v>
      </c>
      <c r="W29" t="s">
        <v>624</v>
      </c>
      <c r="X29" t="s">
        <v>630</v>
      </c>
      <c r="Y29" t="s">
        <v>33</v>
      </c>
      <c r="Z29">
        <v>1595.74</v>
      </c>
      <c r="AA29">
        <v>1659.57</v>
      </c>
      <c r="AB29"/>
      <c r="AC29" s="262"/>
      <c r="AD29" s="501"/>
    </row>
    <row r="30" spans="2:30" s="440" customFormat="1" ht="11.4" customHeight="1">
      <c r="B30" s="18" t="str">
        <f t="shared" si="0"/>
        <v>Self-DirectionCommunity Supports WaiverBSS - Behavioral Consultation (FY19)</v>
      </c>
      <c r="C30" s="18" t="s">
        <v>465</v>
      </c>
      <c r="D30" s="18" t="s">
        <v>200</v>
      </c>
      <c r="E30" s="18" t="s">
        <v>127</v>
      </c>
      <c r="F30" s="18" t="s">
        <v>154</v>
      </c>
      <c r="G30" s="18" t="s">
        <v>55</v>
      </c>
      <c r="H30" s="18" t="s">
        <v>129</v>
      </c>
      <c r="I30" s="36">
        <v>98.37</v>
      </c>
      <c r="J30" s="96">
        <f t="shared" si="14"/>
        <v>3.5000000000000003E-2</v>
      </c>
      <c r="K30" s="36">
        <f t="shared" si="13"/>
        <v>101.81</v>
      </c>
      <c r="L30" s="96">
        <f t="shared" si="15"/>
        <v>3.5000000000000003E-2</v>
      </c>
      <c r="M30" s="388"/>
      <c r="N30" s="96" t="str">
        <f t="shared" si="16"/>
        <v/>
      </c>
      <c r="O30" s="388"/>
      <c r="P30" s="388" t="str">
        <f t="shared" si="4"/>
        <v/>
      </c>
      <c r="Q30" s="388" t="str">
        <f t="shared" si="5"/>
        <v/>
      </c>
      <c r="R30" s="388"/>
      <c r="S30" s="389" t="s">
        <v>212</v>
      </c>
      <c r="T30" s="262" t="str">
        <f t="shared" si="12"/>
        <v/>
      </c>
      <c r="V30" t="s">
        <v>61</v>
      </c>
      <c r="W30" t="s">
        <v>624</v>
      </c>
      <c r="X30" t="s">
        <v>630</v>
      </c>
      <c r="Y30" t="s">
        <v>127</v>
      </c>
      <c r="Z30">
        <v>1595.74</v>
      </c>
      <c r="AA30">
        <v>1659.57</v>
      </c>
      <c r="AB30"/>
      <c r="AC30" s="501">
        <v>33.61</v>
      </c>
      <c r="AD30" s="501">
        <v>36.299999999999997</v>
      </c>
    </row>
    <row r="31" spans="2:30" s="440" customFormat="1" ht="11.4" customHeight="1">
      <c r="B31" s="27" t="str">
        <f t="shared" si="0"/>
        <v>Self-DirectionFamily Supports WaiverBSS - Behavioral Consultation (FY19)</v>
      </c>
      <c r="C31" s="18" t="s">
        <v>465</v>
      </c>
      <c r="D31" s="27" t="s">
        <v>199</v>
      </c>
      <c r="E31" s="27" t="s">
        <v>127</v>
      </c>
      <c r="F31" s="27" t="s">
        <v>154</v>
      </c>
      <c r="G31" s="27" t="s">
        <v>57</v>
      </c>
      <c r="H31" s="27" t="s">
        <v>129</v>
      </c>
      <c r="I31" s="38">
        <v>98.37</v>
      </c>
      <c r="J31" s="65">
        <f t="shared" si="14"/>
        <v>3.5000000000000003E-2</v>
      </c>
      <c r="K31" s="38">
        <f t="shared" si="13"/>
        <v>101.81</v>
      </c>
      <c r="L31" s="65">
        <f t="shared" si="15"/>
        <v>3.5000000000000003E-2</v>
      </c>
      <c r="M31" s="388"/>
      <c r="N31" s="65" t="str">
        <f t="shared" si="16"/>
        <v/>
      </c>
      <c r="O31" s="388"/>
      <c r="P31" s="388" t="str">
        <f t="shared" si="4"/>
        <v/>
      </c>
      <c r="Q31" s="388" t="str">
        <f t="shared" si="5"/>
        <v/>
      </c>
      <c r="R31" s="388"/>
      <c r="S31" s="389" t="s">
        <v>212</v>
      </c>
      <c r="T31" s="262" t="str">
        <f t="shared" si="12"/>
        <v/>
      </c>
      <c r="V31" t="s">
        <v>307</v>
      </c>
      <c r="W31" t="s">
        <v>624</v>
      </c>
      <c r="X31" t="s">
        <v>623</v>
      </c>
      <c r="Y31" t="s">
        <v>33</v>
      </c>
      <c r="Z31">
        <v>18.25</v>
      </c>
      <c r="AA31">
        <v>18.98</v>
      </c>
      <c r="AB31"/>
      <c r="AC31" s="501">
        <v>1477.54</v>
      </c>
      <c r="AD31" s="501">
        <v>1595.74</v>
      </c>
    </row>
    <row r="32" spans="2:30" s="440" customFormat="1" ht="11.4" customHeight="1">
      <c r="B32" s="27" t="str">
        <f t="shared" si="0"/>
        <v>TraditionalCommunity Pathways WaiverBSS - Behavioral Consultation (FY19)</v>
      </c>
      <c r="C32" s="18" t="s">
        <v>465</v>
      </c>
      <c r="D32" s="27" t="s">
        <v>298</v>
      </c>
      <c r="E32" s="27" t="s">
        <v>33</v>
      </c>
      <c r="F32" s="27" t="s">
        <v>154</v>
      </c>
      <c r="G32" s="27" t="s">
        <v>303</v>
      </c>
      <c r="H32" s="27" t="s">
        <v>129</v>
      </c>
      <c r="I32" s="38">
        <v>98.37</v>
      </c>
      <c r="J32" s="65">
        <f t="shared" si="14"/>
        <v>3.5000000000000003E-2</v>
      </c>
      <c r="K32" s="38">
        <f t="shared" si="13"/>
        <v>101.81</v>
      </c>
      <c r="L32" s="65">
        <f t="shared" si="15"/>
        <v>3.5000000000000003E-2</v>
      </c>
      <c r="M32" s="388"/>
      <c r="N32" s="65" t="str">
        <f t="shared" si="16"/>
        <v/>
      </c>
      <c r="O32" s="388"/>
      <c r="P32" s="388" t="str">
        <f t="shared" si="4"/>
        <v/>
      </c>
      <c r="Q32" s="388" t="str">
        <f t="shared" si="5"/>
        <v/>
      </c>
      <c r="R32" s="388"/>
      <c r="S32" s="389"/>
      <c r="T32" s="262" t="str">
        <f t="shared" si="12"/>
        <v/>
      </c>
      <c r="V32" t="s">
        <v>62</v>
      </c>
      <c r="W32" t="s">
        <v>624</v>
      </c>
      <c r="X32" t="s">
        <v>627</v>
      </c>
      <c r="Y32" t="s">
        <v>33</v>
      </c>
      <c r="Z32">
        <v>18.25</v>
      </c>
      <c r="AA32">
        <v>18.98</v>
      </c>
      <c r="AB32"/>
      <c r="AC32" s="262"/>
      <c r="AD32" s="501"/>
    </row>
    <row r="33" spans="2:30" s="440" customFormat="1" ht="11.4" customHeight="1">
      <c r="B33" s="18" t="str">
        <f t="shared" si="0"/>
        <v>TraditionalCommunity Supports WaiverBSS - Behavioral Consultation (FY19)</v>
      </c>
      <c r="C33" s="18" t="s">
        <v>465</v>
      </c>
      <c r="D33" s="27" t="s">
        <v>200</v>
      </c>
      <c r="E33" s="27" t="s">
        <v>33</v>
      </c>
      <c r="F33" s="27" t="s">
        <v>154</v>
      </c>
      <c r="G33" s="27" t="s">
        <v>54</v>
      </c>
      <c r="H33" s="27" t="s">
        <v>129</v>
      </c>
      <c r="I33" s="38">
        <v>98.37</v>
      </c>
      <c r="J33" s="65">
        <f t="shared" si="14"/>
        <v>3.5000000000000003E-2</v>
      </c>
      <c r="K33" s="38">
        <f t="shared" si="13"/>
        <v>101.81</v>
      </c>
      <c r="L33" s="65">
        <f t="shared" si="15"/>
        <v>3.5000000000000003E-2</v>
      </c>
      <c r="M33" s="388"/>
      <c r="N33" s="65" t="str">
        <f t="shared" si="16"/>
        <v/>
      </c>
      <c r="O33" s="388"/>
      <c r="P33" s="388" t="str">
        <f t="shared" si="4"/>
        <v/>
      </c>
      <c r="Q33" s="388" t="str">
        <f t="shared" si="5"/>
        <v/>
      </c>
      <c r="R33" s="388"/>
      <c r="S33" s="389" t="s">
        <v>212</v>
      </c>
      <c r="T33" s="262" t="str">
        <f t="shared" si="12"/>
        <v/>
      </c>
      <c r="V33" t="s">
        <v>63</v>
      </c>
      <c r="W33" t="s">
        <v>624</v>
      </c>
      <c r="X33" t="s">
        <v>627</v>
      </c>
      <c r="Y33" t="s">
        <v>127</v>
      </c>
      <c r="Z33">
        <v>18.25</v>
      </c>
      <c r="AA33">
        <v>18.98</v>
      </c>
      <c r="AB33"/>
      <c r="AC33" s="262"/>
      <c r="AD33" s="501"/>
    </row>
    <row r="34" spans="2:30" s="440" customFormat="1" ht="11.4" customHeight="1">
      <c r="B34" s="27" t="str">
        <f t="shared" si="0"/>
        <v>TraditionalFamily Supports WaiverBSS - Behavioral Consultation (FY19)</v>
      </c>
      <c r="C34" s="18" t="s">
        <v>465</v>
      </c>
      <c r="D34" s="18" t="s">
        <v>199</v>
      </c>
      <c r="E34" s="18" t="s">
        <v>33</v>
      </c>
      <c r="F34" s="18" t="s">
        <v>154</v>
      </c>
      <c r="G34" s="18" t="s">
        <v>56</v>
      </c>
      <c r="H34" s="18" t="s">
        <v>129</v>
      </c>
      <c r="I34" s="36">
        <v>98.37</v>
      </c>
      <c r="J34" s="96">
        <f t="shared" si="14"/>
        <v>3.5000000000000003E-2</v>
      </c>
      <c r="K34" s="36">
        <f t="shared" si="13"/>
        <v>101.81</v>
      </c>
      <c r="L34" s="96">
        <f t="shared" si="15"/>
        <v>3.5000000000000003E-2</v>
      </c>
      <c r="M34" s="388"/>
      <c r="N34" s="96" t="str">
        <f t="shared" si="16"/>
        <v/>
      </c>
      <c r="O34" s="388"/>
      <c r="P34" s="388" t="str">
        <f t="shared" si="4"/>
        <v/>
      </c>
      <c r="Q34" s="388" t="str">
        <f t="shared" si="5"/>
        <v/>
      </c>
      <c r="R34" s="388"/>
      <c r="S34" s="389" t="s">
        <v>212</v>
      </c>
      <c r="T34" s="262" t="str">
        <f t="shared" si="12"/>
        <v/>
      </c>
      <c r="V34" t="s">
        <v>64</v>
      </c>
      <c r="W34" t="s">
        <v>624</v>
      </c>
      <c r="X34" t="s">
        <v>630</v>
      </c>
      <c r="Y34" t="s">
        <v>33</v>
      </c>
      <c r="Z34">
        <v>18.25</v>
      </c>
      <c r="AA34">
        <v>18.98</v>
      </c>
      <c r="AB34"/>
      <c r="AC34" s="262"/>
      <c r="AD34" s="501"/>
    </row>
    <row r="35" spans="2:30" ht="11.4" customHeight="1">
      <c r="B35" s="18" t="str">
        <f t="shared" si="0"/>
        <v>Self-DirectionCommunity Pathways WaiverBSS - Behavioral Plan (New)</v>
      </c>
      <c r="C35" s="27" t="s">
        <v>399</v>
      </c>
      <c r="D35" s="18" t="s">
        <v>298</v>
      </c>
      <c r="E35" s="18" t="s">
        <v>127</v>
      </c>
      <c r="F35" s="18" t="s">
        <v>154</v>
      </c>
      <c r="G35" s="18" t="s">
        <v>306</v>
      </c>
      <c r="H35" s="18" t="s">
        <v>132</v>
      </c>
      <c r="I35" s="36">
        <v>786.94</v>
      </c>
      <c r="J35" s="96">
        <f t="shared" si="14"/>
        <v>3.5000000000000003E-2</v>
      </c>
      <c r="K35" s="36">
        <f t="shared" si="13"/>
        <v>814.48</v>
      </c>
      <c r="L35" s="96">
        <f t="shared" si="15"/>
        <v>3.5000000000000003E-2</v>
      </c>
      <c r="M35" s="388">
        <f t="shared" ref="M35:M40" si="17">ROUND(IF(K35&lt;&gt;"",K35*(1+L35),K35),2)</f>
        <v>842.99</v>
      </c>
      <c r="N35" s="96">
        <f t="shared" ref="N35:N40" si="18">IF(M35&lt;&gt;"",$N$5,"")</f>
        <v>0.04</v>
      </c>
      <c r="O35" s="450">
        <v>1477.54</v>
      </c>
      <c r="P35" s="388" t="str">
        <f t="shared" si="4"/>
        <v/>
      </c>
      <c r="Q35" s="388" t="str">
        <f t="shared" si="5"/>
        <v/>
      </c>
      <c r="R35" s="388"/>
      <c r="S35" s="389"/>
      <c r="T35" s="262" t="str">
        <f t="shared" si="12"/>
        <v/>
      </c>
      <c r="V35" t="s">
        <v>65</v>
      </c>
      <c r="W35" t="s">
        <v>624</v>
      </c>
      <c r="X35" t="s">
        <v>630</v>
      </c>
      <c r="Y35" t="s">
        <v>127</v>
      </c>
      <c r="Z35">
        <v>18.25</v>
      </c>
      <c r="AA35">
        <v>18.98</v>
      </c>
      <c r="AC35" s="262"/>
      <c r="AD35" s="501"/>
    </row>
    <row r="36" spans="2:30" ht="11.4" customHeight="1">
      <c r="B36" s="27" t="str">
        <f t="shared" si="0"/>
        <v>Self-DirectionCommunity Supports WaiverBSS - Behavioral Plan (New)</v>
      </c>
      <c r="C36" s="27" t="s">
        <v>399</v>
      </c>
      <c r="D36" s="27" t="s">
        <v>200</v>
      </c>
      <c r="E36" s="27" t="s">
        <v>127</v>
      </c>
      <c r="F36" s="27" t="s">
        <v>154</v>
      </c>
      <c r="G36" s="27" t="s">
        <v>59</v>
      </c>
      <c r="H36" s="27" t="s">
        <v>132</v>
      </c>
      <c r="I36" s="38">
        <v>786.94</v>
      </c>
      <c r="J36" s="65">
        <f t="shared" si="14"/>
        <v>3.5000000000000003E-2</v>
      </c>
      <c r="K36" s="38">
        <f t="shared" si="13"/>
        <v>814.48</v>
      </c>
      <c r="L36" s="65">
        <f t="shared" si="15"/>
        <v>3.5000000000000003E-2</v>
      </c>
      <c r="M36" s="388">
        <f t="shared" si="17"/>
        <v>842.99</v>
      </c>
      <c r="N36" s="65">
        <f t="shared" si="18"/>
        <v>0.04</v>
      </c>
      <c r="O36" s="450">
        <v>1477.54</v>
      </c>
      <c r="P36" s="388">
        <f t="shared" si="4"/>
        <v>1595.74</v>
      </c>
      <c r="Q36" s="388">
        <f t="shared" si="5"/>
        <v>1659.57</v>
      </c>
      <c r="R36" s="388">
        <f t="shared" ref="R36:R40" si="19">+Q36*(1+$R$4)</f>
        <v>1725.9528</v>
      </c>
      <c r="S36" s="389" t="s">
        <v>212</v>
      </c>
      <c r="T36" s="262">
        <f t="shared" si="12"/>
        <v>4.0000250667401982E-2</v>
      </c>
      <c r="V36" t="s">
        <v>471</v>
      </c>
      <c r="W36" t="s">
        <v>624</v>
      </c>
      <c r="X36" t="s">
        <v>630</v>
      </c>
      <c r="Y36" t="s">
        <v>33</v>
      </c>
      <c r="Z36">
        <v>36.299999999999997</v>
      </c>
      <c r="AA36">
        <v>37.75</v>
      </c>
      <c r="AC36" s="501">
        <v>16.899999999999999</v>
      </c>
      <c r="AD36" s="501">
        <v>18.25</v>
      </c>
    </row>
    <row r="37" spans="2:30" ht="11.4" customHeight="1">
      <c r="B37" s="18" t="str">
        <f t="shared" si="0"/>
        <v>Self-DirectionFamily Supports WaiverBSS - Behavioral Plan (New)</v>
      </c>
      <c r="C37" s="27" t="s">
        <v>399</v>
      </c>
      <c r="D37" s="18" t="s">
        <v>199</v>
      </c>
      <c r="E37" s="18" t="s">
        <v>127</v>
      </c>
      <c r="F37" s="18" t="s">
        <v>154</v>
      </c>
      <c r="G37" s="18" t="s">
        <v>61</v>
      </c>
      <c r="H37" s="18" t="s">
        <v>132</v>
      </c>
      <c r="I37" s="36">
        <v>786.94</v>
      </c>
      <c r="J37" s="96">
        <f t="shared" si="14"/>
        <v>3.5000000000000003E-2</v>
      </c>
      <c r="K37" s="36">
        <f t="shared" si="13"/>
        <v>814.48</v>
      </c>
      <c r="L37" s="96">
        <f t="shared" si="15"/>
        <v>3.5000000000000003E-2</v>
      </c>
      <c r="M37" s="388">
        <f t="shared" si="17"/>
        <v>842.99</v>
      </c>
      <c r="N37" s="96">
        <f t="shared" si="18"/>
        <v>0.04</v>
      </c>
      <c r="O37" s="450">
        <v>1477.54</v>
      </c>
      <c r="P37" s="388">
        <f t="shared" si="4"/>
        <v>1595.74</v>
      </c>
      <c r="Q37" s="388">
        <f t="shared" si="5"/>
        <v>1659.57</v>
      </c>
      <c r="R37" s="388">
        <f t="shared" si="19"/>
        <v>1725.9528</v>
      </c>
      <c r="S37" s="389" t="s">
        <v>212</v>
      </c>
      <c r="T37" s="262">
        <f t="shared" si="12"/>
        <v>4.0000250667401982E-2</v>
      </c>
      <c r="V37" t="s">
        <v>470</v>
      </c>
      <c r="W37" t="s">
        <v>624</v>
      </c>
      <c r="X37" t="s">
        <v>630</v>
      </c>
      <c r="Y37" t="s">
        <v>127</v>
      </c>
      <c r="Z37">
        <v>36.299999999999997</v>
      </c>
      <c r="AA37">
        <v>37.75</v>
      </c>
      <c r="AC37" s="262"/>
      <c r="AD37" s="501"/>
    </row>
    <row r="38" spans="2:30" ht="11.4" customHeight="1">
      <c r="B38" s="27" t="str">
        <f t="shared" si="0"/>
        <v>TraditionalCommunity Pathways WaiverBSS - Behavioral Plan (New)</v>
      </c>
      <c r="C38" s="27" t="s">
        <v>399</v>
      </c>
      <c r="D38" s="27" t="s">
        <v>298</v>
      </c>
      <c r="E38" s="27" t="s">
        <v>33</v>
      </c>
      <c r="F38" s="27" t="s">
        <v>154</v>
      </c>
      <c r="G38" s="27" t="s">
        <v>305</v>
      </c>
      <c r="H38" s="27" t="s">
        <v>132</v>
      </c>
      <c r="I38" s="38">
        <v>786.94</v>
      </c>
      <c r="J38" s="65">
        <f t="shared" si="14"/>
        <v>3.5000000000000003E-2</v>
      </c>
      <c r="K38" s="38">
        <f t="shared" si="13"/>
        <v>814.48</v>
      </c>
      <c r="L38" s="65">
        <f t="shared" si="15"/>
        <v>3.5000000000000003E-2</v>
      </c>
      <c r="M38" s="388">
        <f t="shared" si="17"/>
        <v>842.99</v>
      </c>
      <c r="N38" s="65">
        <f t="shared" si="18"/>
        <v>0.04</v>
      </c>
      <c r="O38" s="450">
        <v>1477.54</v>
      </c>
      <c r="P38" s="388">
        <f t="shared" si="4"/>
        <v>1595.74</v>
      </c>
      <c r="Q38" s="388">
        <f t="shared" si="5"/>
        <v>1659.57</v>
      </c>
      <c r="R38" s="388">
        <f t="shared" si="19"/>
        <v>1725.9528</v>
      </c>
      <c r="S38" s="389"/>
      <c r="T38" s="262">
        <f t="shared" si="12"/>
        <v>4.0000250667401982E-2</v>
      </c>
      <c r="V38" t="s">
        <v>469</v>
      </c>
      <c r="W38" t="s">
        <v>624</v>
      </c>
      <c r="X38" t="s">
        <v>627</v>
      </c>
      <c r="Y38" t="s">
        <v>33</v>
      </c>
      <c r="Z38">
        <v>36.299999999999997</v>
      </c>
      <c r="AA38">
        <v>37.75</v>
      </c>
      <c r="AC38" s="262"/>
      <c r="AD38" s="501"/>
    </row>
    <row r="39" spans="2:30" ht="11.4" customHeight="1">
      <c r="B39" s="18" t="str">
        <f t="shared" si="0"/>
        <v>TraditionalCommunity Supports WaiverBSS - Behavioral Plan (New)</v>
      </c>
      <c r="C39" s="27" t="s">
        <v>399</v>
      </c>
      <c r="D39" s="18" t="s">
        <v>200</v>
      </c>
      <c r="E39" s="18" t="s">
        <v>33</v>
      </c>
      <c r="F39" s="18" t="s">
        <v>154</v>
      </c>
      <c r="G39" s="18" t="s">
        <v>58</v>
      </c>
      <c r="H39" s="18" t="s">
        <v>132</v>
      </c>
      <c r="I39" s="36">
        <v>786.94</v>
      </c>
      <c r="J39" s="96">
        <f t="shared" si="14"/>
        <v>3.5000000000000003E-2</v>
      </c>
      <c r="K39" s="36">
        <f t="shared" si="13"/>
        <v>814.48</v>
      </c>
      <c r="L39" s="96">
        <f t="shared" si="15"/>
        <v>3.5000000000000003E-2</v>
      </c>
      <c r="M39" s="388">
        <f t="shared" si="17"/>
        <v>842.99</v>
      </c>
      <c r="N39" s="96">
        <f t="shared" si="18"/>
        <v>0.04</v>
      </c>
      <c r="O39" s="450">
        <v>1477.54</v>
      </c>
      <c r="P39" s="388">
        <f t="shared" si="4"/>
        <v>1595.74</v>
      </c>
      <c r="Q39" s="388">
        <f t="shared" si="5"/>
        <v>1659.57</v>
      </c>
      <c r="R39" s="388">
        <f t="shared" si="19"/>
        <v>1725.9528</v>
      </c>
      <c r="S39" s="389" t="s">
        <v>212</v>
      </c>
      <c r="T39" s="262">
        <f t="shared" si="12"/>
        <v>4.0000250667401982E-2</v>
      </c>
      <c r="V39" t="s">
        <v>468</v>
      </c>
      <c r="W39" t="s">
        <v>624</v>
      </c>
      <c r="X39" t="s">
        <v>627</v>
      </c>
      <c r="Y39" t="s">
        <v>127</v>
      </c>
      <c r="Z39">
        <v>36.299999999999997</v>
      </c>
      <c r="AA39">
        <v>37.75</v>
      </c>
      <c r="AC39" s="262"/>
      <c r="AD39" s="501"/>
    </row>
    <row r="40" spans="2:30" ht="11.4" customHeight="1">
      <c r="B40" s="27" t="str">
        <f t="shared" si="0"/>
        <v>TraditionalFamily Supports WaiverBSS - Behavioral Plan (New)</v>
      </c>
      <c r="C40" s="27" t="s">
        <v>399</v>
      </c>
      <c r="D40" s="27" t="s">
        <v>199</v>
      </c>
      <c r="E40" s="27" t="s">
        <v>33</v>
      </c>
      <c r="F40" s="27" t="s">
        <v>154</v>
      </c>
      <c r="G40" s="27" t="s">
        <v>60</v>
      </c>
      <c r="H40" s="27" t="s">
        <v>132</v>
      </c>
      <c r="I40" s="38">
        <v>786.94</v>
      </c>
      <c r="J40" s="65">
        <f t="shared" si="14"/>
        <v>3.5000000000000003E-2</v>
      </c>
      <c r="K40" s="38">
        <f t="shared" si="13"/>
        <v>814.48</v>
      </c>
      <c r="L40" s="65">
        <f t="shared" si="15"/>
        <v>3.5000000000000003E-2</v>
      </c>
      <c r="M40" s="388">
        <f t="shared" si="17"/>
        <v>842.99</v>
      </c>
      <c r="N40" s="65">
        <f t="shared" si="18"/>
        <v>0.04</v>
      </c>
      <c r="O40" s="450">
        <v>1477.54</v>
      </c>
      <c r="P40" s="388">
        <f t="shared" si="4"/>
        <v>1595.74</v>
      </c>
      <c r="Q40" s="388">
        <f t="shared" si="5"/>
        <v>1659.57</v>
      </c>
      <c r="R40" s="388">
        <f t="shared" si="19"/>
        <v>1725.9528</v>
      </c>
      <c r="S40" s="389" t="s">
        <v>212</v>
      </c>
      <c r="T40" s="262">
        <f t="shared" si="12"/>
        <v>4.0000250667401982E-2</v>
      </c>
      <c r="V40" t="s">
        <v>324</v>
      </c>
      <c r="W40" t="s">
        <v>647</v>
      </c>
      <c r="X40" t="s">
        <v>623</v>
      </c>
      <c r="Y40" t="s">
        <v>33</v>
      </c>
      <c r="Z40">
        <v>474.49</v>
      </c>
      <c r="AA40">
        <v>493.47</v>
      </c>
      <c r="AC40" s="262"/>
      <c r="AD40" s="501"/>
    </row>
    <row r="41" spans="2:30" ht="11.4" customHeight="1">
      <c r="B41" s="18" t="str">
        <f t="shared" ref="B41:B72" si="20">CONCATENATE(E41,D41,C41)</f>
        <v>TraditionalCommunity Pathways WaiverBSS - Brief Support Implementation (Ended)</v>
      </c>
      <c r="C41" s="18" t="s">
        <v>467</v>
      </c>
      <c r="D41" s="18" t="s">
        <v>298</v>
      </c>
      <c r="E41" s="18" t="s">
        <v>33</v>
      </c>
      <c r="F41" s="18" t="s">
        <v>154</v>
      </c>
      <c r="G41" s="18" t="s">
        <v>403</v>
      </c>
      <c r="H41" s="18" t="s">
        <v>402</v>
      </c>
      <c r="I41" s="36">
        <v>50</v>
      </c>
      <c r="J41" s="65">
        <v>0</v>
      </c>
      <c r="K41" s="36">
        <f t="shared" si="13"/>
        <v>50</v>
      </c>
      <c r="L41" s="65">
        <v>0</v>
      </c>
      <c r="M41" s="388"/>
      <c r="N41" s="65">
        <v>0</v>
      </c>
      <c r="O41" s="388"/>
      <c r="P41" s="388" t="str">
        <f t="shared" si="4"/>
        <v/>
      </c>
      <c r="Q41" s="388" t="str">
        <f t="shared" si="5"/>
        <v/>
      </c>
      <c r="R41" s="388"/>
      <c r="S41" s="389"/>
      <c r="T41" s="262" t="str">
        <f t="shared" si="12"/>
        <v/>
      </c>
      <c r="V41" t="s">
        <v>67</v>
      </c>
      <c r="W41" t="s">
        <v>647</v>
      </c>
      <c r="X41" t="s">
        <v>627</v>
      </c>
      <c r="Y41" t="s">
        <v>33</v>
      </c>
      <c r="Z41">
        <v>474.49</v>
      </c>
      <c r="AA41">
        <v>493.47</v>
      </c>
      <c r="AC41" s="262"/>
      <c r="AD41" s="501"/>
    </row>
    <row r="42" spans="2:30" ht="11.4" customHeight="1">
      <c r="B42" s="18" t="str">
        <f t="shared" si="20"/>
        <v>Self-DirectionCommunity Pathways WaiverBSS - Brief Support Implementation (New)</v>
      </c>
      <c r="C42" s="18" t="s">
        <v>400</v>
      </c>
      <c r="D42" s="18" t="s">
        <v>298</v>
      </c>
      <c r="E42" s="18" t="s">
        <v>127</v>
      </c>
      <c r="F42" s="18" t="s">
        <v>154</v>
      </c>
      <c r="G42" s="18" t="s">
        <v>308</v>
      </c>
      <c r="H42" s="18" t="s">
        <v>133</v>
      </c>
      <c r="I42" s="36">
        <v>17.489999999999998</v>
      </c>
      <c r="J42" s="96">
        <f t="shared" ref="J42:J62" si="21">IF(I42&lt;&gt;"",$J$5,"")</f>
        <v>3.5000000000000003E-2</v>
      </c>
      <c r="K42" s="36">
        <f t="shared" si="13"/>
        <v>18.100000000000001</v>
      </c>
      <c r="L42" s="96">
        <f t="shared" ref="L42:L62" si="22">IF(K42&lt;&gt;"",$L$5,"")</f>
        <v>3.5000000000000003E-2</v>
      </c>
      <c r="M42" s="388">
        <f t="shared" ref="M42:M48" si="23">ROUND(IF(K42&lt;&gt;"",K42*(1+L42),K42),2)</f>
        <v>18.73</v>
      </c>
      <c r="N42" s="96">
        <f t="shared" ref="N42:N62" si="24">IF(M42&lt;&gt;"",$N$5,"")</f>
        <v>0.04</v>
      </c>
      <c r="O42" s="450">
        <v>16.899999999999999</v>
      </c>
      <c r="P42" s="388" t="str">
        <f t="shared" si="4"/>
        <v/>
      </c>
      <c r="Q42" s="388" t="str">
        <f t="shared" si="5"/>
        <v/>
      </c>
      <c r="R42" s="388"/>
      <c r="S42" s="389"/>
      <c r="T42" s="262" t="str">
        <f t="shared" si="12"/>
        <v/>
      </c>
      <c r="V42" t="s">
        <v>68</v>
      </c>
      <c r="W42" t="s">
        <v>647</v>
      </c>
      <c r="X42" t="s">
        <v>627</v>
      </c>
      <c r="Y42" t="s">
        <v>127</v>
      </c>
      <c r="Z42">
        <v>474.49</v>
      </c>
      <c r="AA42">
        <v>493.47</v>
      </c>
      <c r="AC42" s="262"/>
      <c r="AD42" s="501"/>
    </row>
    <row r="43" spans="2:30" ht="11.4" customHeight="1">
      <c r="B43" s="18" t="str">
        <f t="shared" si="20"/>
        <v>Self-DirectionCommunity Supports WaiverBSS - Brief Support Implementation (New)</v>
      </c>
      <c r="C43" s="18" t="s">
        <v>400</v>
      </c>
      <c r="D43" s="18" t="s">
        <v>200</v>
      </c>
      <c r="E43" s="18" t="s">
        <v>127</v>
      </c>
      <c r="F43" s="18" t="s">
        <v>154</v>
      </c>
      <c r="G43" s="18" t="s">
        <v>63</v>
      </c>
      <c r="H43" s="18" t="s">
        <v>133</v>
      </c>
      <c r="I43" s="36">
        <v>17.489999999999998</v>
      </c>
      <c r="J43" s="96">
        <f t="shared" si="21"/>
        <v>3.5000000000000003E-2</v>
      </c>
      <c r="K43" s="36">
        <f t="shared" si="13"/>
        <v>18.100000000000001</v>
      </c>
      <c r="L43" s="96">
        <f t="shared" si="22"/>
        <v>3.5000000000000003E-2</v>
      </c>
      <c r="M43" s="388">
        <f t="shared" si="23"/>
        <v>18.73</v>
      </c>
      <c r="N43" s="96">
        <f t="shared" si="24"/>
        <v>0.04</v>
      </c>
      <c r="O43" s="450">
        <v>16.899999999999999</v>
      </c>
      <c r="P43" s="388">
        <f t="shared" si="4"/>
        <v>18.25</v>
      </c>
      <c r="Q43" s="388">
        <f t="shared" si="5"/>
        <v>18.98</v>
      </c>
      <c r="R43" s="388">
        <f t="shared" ref="R43:R47" si="25">+Q43*(1+$R$4)</f>
        <v>19.7392</v>
      </c>
      <c r="S43" s="389" t="s">
        <v>212</v>
      </c>
      <c r="T43" s="262">
        <f t="shared" si="12"/>
        <v>4.0000000000000036E-2</v>
      </c>
      <c r="V43" t="s">
        <v>69</v>
      </c>
      <c r="W43" t="s">
        <v>647</v>
      </c>
      <c r="X43" t="s">
        <v>630</v>
      </c>
      <c r="Y43" t="s">
        <v>33</v>
      </c>
      <c r="Z43">
        <v>474.49</v>
      </c>
      <c r="AA43">
        <v>493.47</v>
      </c>
      <c r="AC43" s="262"/>
      <c r="AD43" s="501"/>
    </row>
    <row r="44" spans="2:30" ht="11.4" customHeight="1">
      <c r="B44" s="27" t="str">
        <f t="shared" si="20"/>
        <v>Self-DirectionFamily Supports WaiverBSS - Brief Support Implementation (New)</v>
      </c>
      <c r="C44" s="18" t="s">
        <v>400</v>
      </c>
      <c r="D44" s="27" t="s">
        <v>199</v>
      </c>
      <c r="E44" s="27" t="s">
        <v>127</v>
      </c>
      <c r="F44" s="27" t="s">
        <v>154</v>
      </c>
      <c r="G44" s="27" t="s">
        <v>65</v>
      </c>
      <c r="H44" s="27" t="s">
        <v>133</v>
      </c>
      <c r="I44" s="38">
        <v>17.489999999999998</v>
      </c>
      <c r="J44" s="65">
        <f t="shared" si="21"/>
        <v>3.5000000000000003E-2</v>
      </c>
      <c r="K44" s="38">
        <f t="shared" si="13"/>
        <v>18.100000000000001</v>
      </c>
      <c r="L44" s="65">
        <f t="shared" si="22"/>
        <v>3.5000000000000003E-2</v>
      </c>
      <c r="M44" s="388">
        <f t="shared" si="23"/>
        <v>18.73</v>
      </c>
      <c r="N44" s="65">
        <f t="shared" si="24"/>
        <v>0.04</v>
      </c>
      <c r="O44" s="450">
        <v>16.899999999999999</v>
      </c>
      <c r="P44" s="388">
        <f t="shared" si="4"/>
        <v>18.25</v>
      </c>
      <c r="Q44" s="388">
        <f t="shared" si="5"/>
        <v>18.98</v>
      </c>
      <c r="R44" s="388">
        <f t="shared" si="25"/>
        <v>19.7392</v>
      </c>
      <c r="S44" s="389" t="s">
        <v>212</v>
      </c>
      <c r="T44" s="262">
        <f t="shared" si="12"/>
        <v>4.0000000000000036E-2</v>
      </c>
      <c r="V44" t="s">
        <v>70</v>
      </c>
      <c r="W44" t="s">
        <v>647</v>
      </c>
      <c r="X44" t="s">
        <v>630</v>
      </c>
      <c r="Y44" t="s">
        <v>127</v>
      </c>
      <c r="Z44">
        <v>474.49</v>
      </c>
      <c r="AA44">
        <v>493.47</v>
      </c>
      <c r="AC44" s="262"/>
      <c r="AD44" s="501"/>
    </row>
    <row r="45" spans="2:30" ht="11.4" customHeight="1">
      <c r="B45" s="27" t="str">
        <f t="shared" si="20"/>
        <v>TraditionalCommunity Pathways WaiverBSS - Brief Support Implementation (New)</v>
      </c>
      <c r="C45" s="18" t="s">
        <v>400</v>
      </c>
      <c r="D45" s="27" t="s">
        <v>298</v>
      </c>
      <c r="E45" s="27" t="s">
        <v>33</v>
      </c>
      <c r="F45" s="27" t="s">
        <v>154</v>
      </c>
      <c r="G45" s="27" t="s">
        <v>307</v>
      </c>
      <c r="H45" s="27" t="s">
        <v>133</v>
      </c>
      <c r="I45" s="38">
        <v>17.489999999999998</v>
      </c>
      <c r="J45" s="65">
        <f t="shared" si="21"/>
        <v>3.5000000000000003E-2</v>
      </c>
      <c r="K45" s="38">
        <f t="shared" si="13"/>
        <v>18.100000000000001</v>
      </c>
      <c r="L45" s="65">
        <f t="shared" si="22"/>
        <v>3.5000000000000003E-2</v>
      </c>
      <c r="M45" s="388">
        <f t="shared" si="23"/>
        <v>18.73</v>
      </c>
      <c r="N45" s="65">
        <f t="shared" si="24"/>
        <v>0.04</v>
      </c>
      <c r="O45" s="450">
        <v>16.899999999999999</v>
      </c>
      <c r="P45" s="388">
        <f t="shared" si="4"/>
        <v>18.25</v>
      </c>
      <c r="Q45" s="388">
        <f t="shared" si="5"/>
        <v>18.98</v>
      </c>
      <c r="R45" s="388">
        <f t="shared" si="25"/>
        <v>19.7392</v>
      </c>
      <c r="S45" s="389"/>
      <c r="T45" s="262">
        <f t="shared" si="12"/>
        <v>4.0000000000000036E-2</v>
      </c>
      <c r="V45" t="s">
        <v>328</v>
      </c>
      <c r="W45" t="s">
        <v>652</v>
      </c>
      <c r="X45" t="s">
        <v>623</v>
      </c>
      <c r="Y45" t="s">
        <v>33</v>
      </c>
      <c r="Z45">
        <v>65.37</v>
      </c>
      <c r="AA45">
        <v>67.98</v>
      </c>
      <c r="AC45" s="262"/>
      <c r="AD45" s="501">
        <v>474.49</v>
      </c>
    </row>
    <row r="46" spans="2:30" ht="11.4" customHeight="1">
      <c r="B46" s="27" t="str">
        <f t="shared" si="20"/>
        <v>TraditionalCommunity Supports WaiverBSS - Brief Support Implementation (New)</v>
      </c>
      <c r="C46" s="18" t="s">
        <v>400</v>
      </c>
      <c r="D46" s="27" t="s">
        <v>200</v>
      </c>
      <c r="E46" s="27" t="s">
        <v>33</v>
      </c>
      <c r="F46" s="27" t="s">
        <v>154</v>
      </c>
      <c r="G46" s="27" t="s">
        <v>62</v>
      </c>
      <c r="H46" s="27" t="s">
        <v>133</v>
      </c>
      <c r="I46" s="38">
        <v>17.489999999999998</v>
      </c>
      <c r="J46" s="65">
        <f t="shared" si="21"/>
        <v>3.5000000000000003E-2</v>
      </c>
      <c r="K46" s="38">
        <f t="shared" si="13"/>
        <v>18.100000000000001</v>
      </c>
      <c r="L46" s="65">
        <f t="shared" si="22"/>
        <v>3.5000000000000003E-2</v>
      </c>
      <c r="M46" s="388">
        <f t="shared" si="23"/>
        <v>18.73</v>
      </c>
      <c r="N46" s="65">
        <f t="shared" si="24"/>
        <v>0.04</v>
      </c>
      <c r="O46" s="450">
        <v>16.899999999999999</v>
      </c>
      <c r="P46" s="388">
        <f t="shared" si="4"/>
        <v>18.25</v>
      </c>
      <c r="Q46" s="388">
        <f t="shared" si="5"/>
        <v>18.98</v>
      </c>
      <c r="R46" s="388">
        <f t="shared" si="25"/>
        <v>19.7392</v>
      </c>
      <c r="S46" s="389" t="s">
        <v>212</v>
      </c>
      <c r="T46" s="262">
        <f t="shared" si="12"/>
        <v>4.0000000000000036E-2</v>
      </c>
      <c r="V46" t="s">
        <v>77</v>
      </c>
      <c r="W46" t="s">
        <v>652</v>
      </c>
      <c r="X46" t="s">
        <v>627</v>
      </c>
      <c r="Y46" t="s">
        <v>33</v>
      </c>
      <c r="Z46">
        <v>65.37</v>
      </c>
      <c r="AA46">
        <v>67.98</v>
      </c>
      <c r="AC46" s="262"/>
      <c r="AD46" s="501"/>
    </row>
    <row r="47" spans="2:30" ht="11.4" customHeight="1">
      <c r="B47" s="18" t="str">
        <f t="shared" si="20"/>
        <v>TraditionalFamily Supports WaiverBSS - Brief Support Implementation (New)</v>
      </c>
      <c r="C47" s="18" t="s">
        <v>400</v>
      </c>
      <c r="D47" s="18" t="s">
        <v>199</v>
      </c>
      <c r="E47" s="18" t="s">
        <v>33</v>
      </c>
      <c r="F47" s="18" t="s">
        <v>154</v>
      </c>
      <c r="G47" s="18" t="s">
        <v>64</v>
      </c>
      <c r="H47" s="18" t="s">
        <v>133</v>
      </c>
      <c r="I47" s="36">
        <v>17.489999999999998</v>
      </c>
      <c r="J47" s="96">
        <f t="shared" si="21"/>
        <v>3.5000000000000003E-2</v>
      </c>
      <c r="K47" s="36">
        <f t="shared" si="13"/>
        <v>18.100000000000001</v>
      </c>
      <c r="L47" s="96">
        <f t="shared" si="22"/>
        <v>3.5000000000000003E-2</v>
      </c>
      <c r="M47" s="388">
        <f t="shared" si="23"/>
        <v>18.73</v>
      </c>
      <c r="N47" s="96">
        <f t="shared" si="24"/>
        <v>0.04</v>
      </c>
      <c r="O47" s="450">
        <v>16.899999999999999</v>
      </c>
      <c r="P47" s="388">
        <f t="shared" si="4"/>
        <v>18.25</v>
      </c>
      <c r="Q47" s="388">
        <f t="shared" si="5"/>
        <v>18.98</v>
      </c>
      <c r="R47" s="388">
        <f t="shared" si="25"/>
        <v>19.7392</v>
      </c>
      <c r="S47" s="389" t="s">
        <v>212</v>
      </c>
      <c r="T47" s="262">
        <f t="shared" si="12"/>
        <v>4.0000000000000036E-2</v>
      </c>
      <c r="V47" t="s">
        <v>78</v>
      </c>
      <c r="W47" t="s">
        <v>652</v>
      </c>
      <c r="X47" t="s">
        <v>627</v>
      </c>
      <c r="Y47" t="s">
        <v>127</v>
      </c>
      <c r="Z47">
        <v>65.37</v>
      </c>
      <c r="AA47">
        <v>67.98</v>
      </c>
      <c r="AC47" s="262"/>
      <c r="AD47" s="501"/>
    </row>
    <row r="48" spans="2:30" ht="11.4" customHeight="1">
      <c r="B48" s="18" t="str">
        <f t="shared" si="20"/>
        <v>TraditionalCommunity Pathways WaiverCamp - Non-Respite (State-Only Funded)</v>
      </c>
      <c r="C48" s="18" t="s">
        <v>389</v>
      </c>
      <c r="D48" s="18" t="s">
        <v>298</v>
      </c>
      <c r="E48" s="18" t="s">
        <v>33</v>
      </c>
      <c r="F48" s="18" t="s">
        <v>154</v>
      </c>
      <c r="G48" s="18" t="s">
        <v>91</v>
      </c>
      <c r="H48" s="18" t="s">
        <v>91</v>
      </c>
      <c r="I48" s="36"/>
      <c r="J48" s="65" t="str">
        <f t="shared" si="21"/>
        <v/>
      </c>
      <c r="K48" s="36"/>
      <c r="L48" s="65" t="str">
        <f t="shared" si="22"/>
        <v/>
      </c>
      <c r="M48" s="388">
        <f t="shared" si="23"/>
        <v>0</v>
      </c>
      <c r="N48" s="65">
        <f t="shared" si="24"/>
        <v>0.04</v>
      </c>
      <c r="O48" s="388">
        <f>ROUND(IF(M48&lt;&gt;"",M48*(1+N48),M48),2)</f>
        <v>0</v>
      </c>
      <c r="P48" s="388" t="str">
        <f t="shared" si="4"/>
        <v/>
      </c>
      <c r="Q48" s="388" t="str">
        <f t="shared" si="5"/>
        <v/>
      </c>
      <c r="R48" s="388"/>
      <c r="S48" s="434">
        <v>10000000</v>
      </c>
      <c r="T48" s="262" t="str">
        <f t="shared" si="12"/>
        <v/>
      </c>
      <c r="V48" t="s">
        <v>79</v>
      </c>
      <c r="W48" t="s">
        <v>652</v>
      </c>
      <c r="X48" t="s">
        <v>630</v>
      </c>
      <c r="Y48" t="s">
        <v>33</v>
      </c>
      <c r="Z48">
        <v>65.37</v>
      </c>
      <c r="AA48">
        <v>67.98</v>
      </c>
      <c r="AC48" s="262"/>
      <c r="AD48" s="501"/>
    </row>
    <row r="49" spans="2:37" ht="11.4" customHeight="1">
      <c r="B49" s="27" t="str">
        <f t="shared" si="20"/>
        <v>TraditionalCommunity Pathways WaiverCareer Exploration - Facility</v>
      </c>
      <c r="C49" s="27" t="s">
        <v>140</v>
      </c>
      <c r="D49" s="27" t="s">
        <v>298</v>
      </c>
      <c r="E49" s="27" t="s">
        <v>33</v>
      </c>
      <c r="F49" s="27" t="s">
        <v>377</v>
      </c>
      <c r="G49" s="27" t="s">
        <v>309</v>
      </c>
      <c r="H49" s="27" t="s">
        <v>134</v>
      </c>
      <c r="I49" s="92" t="str">
        <f>IF(ISERROR((VLOOKUP(CONCATENATE(Budget!$AQ$13,Budget!$K$8,Budget!$J$8),Budget!$CF$4:$CN$310,9)+Budget!$AP$18)),"",(VLOOKUP(CONCATENATE(Budget!$AQ$13,Budget!$K$8,Budget!$J$8),Budget!$CF$4:$CN$310,9)+Budget!$AP$18))</f>
        <v/>
      </c>
      <c r="J49" s="65" t="str">
        <f t="shared" si="21"/>
        <v/>
      </c>
      <c r="K49" s="92" t="str">
        <f>IF(ISERROR((VLOOKUP(CONCATENATE(Budget!$AQ$13,Budget!$K$8,Budget!$J$8),Budget!$CP$4:$CX$310,9)+(Budget!$AP$18*(1+$J$5)))),"",(VLOOKUP(CONCATENATE(Budget!$AQ$13,Budget!$K$8,Budget!$J$8),Budget!$CP$4:$CX$310,9)+(Budget!$AP$18*(1+$J$5))))</f>
        <v/>
      </c>
      <c r="L49" s="65" t="str">
        <f t="shared" si="22"/>
        <v/>
      </c>
      <c r="M49" s="92" t="str">
        <f>IF(ISERROR((VLOOKUP(CONCATENATE(Budget!$AQ$13,Budget!$K$8,Budget!$J$8),Budget!$CP$4:$CX$310,9)+(Budget!$AP$18*(1+$J$5)))),"",(VLOOKUP(CONCATENATE(Budget!$AQ$13,Budget!$K$8,Budget!$J$8),Budget!$CP$4:$CX$310,9)+(Budget!$AP$18*(1+$J$5))))</f>
        <v/>
      </c>
      <c r="N49" s="65" t="str">
        <f t="shared" si="24"/>
        <v/>
      </c>
      <c r="O49" s="92" t="str">
        <f>IF(ISERROR((VLOOKUP(CONCATENATE(Budget!$AQ$13,Budget!$K$8,Budget!$J$8),Budget!$CP$4:$CX$310,9)+(Budget!$AP$18*(1+$J$5)))),"",(VLOOKUP(CONCATENATE(Budget!$AQ$13,Budget!$K$8,Budget!$J$8),Budget!$CP$4:$CX$310,9)+(Budget!$AP$18*(1+$J$5))))</f>
        <v/>
      </c>
      <c r="P49" s="388" t="str">
        <f t="shared" si="4"/>
        <v/>
      </c>
      <c r="Q49" s="388" t="str">
        <f t="shared" si="5"/>
        <v/>
      </c>
      <c r="R49" s="388"/>
      <c r="S49" s="39"/>
      <c r="T49" s="262" t="str">
        <f t="shared" si="12"/>
        <v/>
      </c>
      <c r="V49" t="s">
        <v>80</v>
      </c>
      <c r="W49" t="s">
        <v>652</v>
      </c>
      <c r="X49" t="s">
        <v>630</v>
      </c>
      <c r="Y49" t="s">
        <v>127</v>
      </c>
      <c r="Z49">
        <v>65.37</v>
      </c>
      <c r="AA49">
        <v>67.98</v>
      </c>
      <c r="AC49" s="262"/>
      <c r="AD49" s="501"/>
    </row>
    <row r="50" spans="2:37" ht="11.4" customHeight="1">
      <c r="B50" s="18" t="str">
        <f t="shared" si="20"/>
        <v>TraditionalCommunity Supports WaiverCareer Exploration - Facility</v>
      </c>
      <c r="C50" s="18" t="s">
        <v>140</v>
      </c>
      <c r="D50" s="18" t="s">
        <v>200</v>
      </c>
      <c r="E50" s="18" t="s">
        <v>33</v>
      </c>
      <c r="F50" s="18" t="s">
        <v>377</v>
      </c>
      <c r="G50" s="18" t="s">
        <v>43</v>
      </c>
      <c r="H50" s="18" t="s">
        <v>134</v>
      </c>
      <c r="I50" s="92" t="str">
        <f>IF(ISERROR((VLOOKUP(CONCATENATE(Budget!$AQ$13,Budget!$K$8,Budget!$J$8),Budget!$CF$4:$CN$310,9)+Budget!$AP$18)),"",(VLOOKUP(CONCATENATE(Budget!$AQ$13,Budget!$K$8,Budget!$J$8),Budget!$CF$4:$CN$310,9)+Budget!$AP$18))</f>
        <v/>
      </c>
      <c r="J50" s="96" t="str">
        <f t="shared" si="21"/>
        <v/>
      </c>
      <c r="K50" s="92" t="str">
        <f>IF(ISERROR((VLOOKUP(CONCATENATE(Budget!$AQ$13,Budget!$K$8,Budget!$J$8),Budget!$CP$4:$CX$310,9)+(Budget!$AP$18*(1+$J$5)))),"",(VLOOKUP(CONCATENATE(Budget!$AQ$13,Budget!$K$8,Budget!$J$8),Budget!$CP$4:$CX$310,9)+(Budget!$AP$18*(1+$J$5))))</f>
        <v/>
      </c>
      <c r="L50" s="96" t="str">
        <f t="shared" si="22"/>
        <v/>
      </c>
      <c r="M50" s="92" t="str">
        <f>IF(ISERROR((VLOOKUP(CONCATENATE(Budget!$AQ$13,Budget!$K$8,Budget!$J$8),Budget!$CP$4:$CX$310,9)+(Budget!$AP$18*(1+$J$5)))),"",(VLOOKUP(CONCATENATE(Budget!$AQ$13,Budget!$K$8,Budget!$J$8),Budget!$CP$4:$CX$310,9)+(Budget!$AP$18*(1+$J$5))))</f>
        <v/>
      </c>
      <c r="N50" s="96" t="str">
        <f t="shared" si="24"/>
        <v/>
      </c>
      <c r="O50" s="92" t="str">
        <f>IF(ISERROR((VLOOKUP(CONCATENATE(Budget!$AQ$13,Budget!$K$8,Budget!$J$8),Budget!$CP$4:$CX$310,9)+(Budget!$AP$18*(1+$J$5)))),"",(VLOOKUP(CONCATENATE(Budget!$AQ$13,Budget!$K$8,Budget!$J$8),Budget!$CP$4:$CX$310,9)+(Budget!$AP$18*(1+$J$5))))</f>
        <v/>
      </c>
      <c r="P50" s="388" t="str">
        <f t="shared" si="4"/>
        <v/>
      </c>
      <c r="Q50" s="388" t="str">
        <f t="shared" si="5"/>
        <v/>
      </c>
      <c r="R50" s="388"/>
      <c r="S50" s="37" t="s">
        <v>212</v>
      </c>
      <c r="T50" s="262" t="str">
        <f t="shared" si="12"/>
        <v/>
      </c>
      <c r="V50" t="s">
        <v>480</v>
      </c>
      <c r="W50" t="s">
        <v>663</v>
      </c>
      <c r="X50" t="s">
        <v>630</v>
      </c>
      <c r="Y50" t="s">
        <v>127</v>
      </c>
      <c r="Z50">
        <v>21.48</v>
      </c>
      <c r="AA50">
        <v>22.34</v>
      </c>
      <c r="AC50" s="262"/>
      <c r="AD50" s="501">
        <v>65.37</v>
      </c>
    </row>
    <row r="51" spans="2:37" ht="11.4" customHeight="1">
      <c r="B51" s="18" t="str">
        <f t="shared" si="20"/>
        <v>TraditionalCommunity Pathways WaiverCareer Exploration - Large</v>
      </c>
      <c r="C51" s="18" t="s">
        <v>139</v>
      </c>
      <c r="D51" s="18" t="s">
        <v>298</v>
      </c>
      <c r="E51" s="18" t="s">
        <v>33</v>
      </c>
      <c r="F51" s="18" t="s">
        <v>377</v>
      </c>
      <c r="G51" s="18" t="s">
        <v>310</v>
      </c>
      <c r="H51" s="18" t="s">
        <v>134</v>
      </c>
      <c r="I51" s="92" t="str">
        <f>IF(ISERROR((VLOOKUP(CONCATENATE(Budget!$AQ$13,Budget!$K$8,Budget!$J$8),Budget!$CF$4:$CN$310,9)+Budget!$AP$18)),"",(VLOOKUP(CONCATENATE(Budget!$AQ$13,Budget!$K$8,Budget!$J$8),Budget!$CF$4:$CN$310,9)+Budget!$AP$18))</f>
        <v/>
      </c>
      <c r="J51" s="96" t="str">
        <f t="shared" si="21"/>
        <v/>
      </c>
      <c r="K51" s="92" t="str">
        <f>IF(ISERROR((VLOOKUP(CONCATENATE(Budget!$AQ$13,Budget!$K$8,Budget!$J$8),Budget!$CP$4:$CX$310,9)+(Budget!$AP$18*(1+$J$5)))),"",(VLOOKUP(CONCATENATE(Budget!$AQ$13,Budget!$K$8,Budget!$J$8),Budget!$CP$4:$CX$310,9)+(Budget!$AP$18*(1+$J$5))))</f>
        <v/>
      </c>
      <c r="L51" s="96" t="str">
        <f t="shared" si="22"/>
        <v/>
      </c>
      <c r="M51" s="92" t="str">
        <f>IF(ISERROR((VLOOKUP(CONCATENATE(Budget!$AQ$13,Budget!$K$8,Budget!$J$8),Budget!$CP$4:$CX$310,9)+(Budget!$AP$18*(1+$J$5)))),"",(VLOOKUP(CONCATENATE(Budget!$AQ$13,Budget!$K$8,Budget!$J$8),Budget!$CP$4:$CX$310,9)+(Budget!$AP$18*(1+$J$5))))</f>
        <v/>
      </c>
      <c r="N51" s="96" t="str">
        <f t="shared" si="24"/>
        <v/>
      </c>
      <c r="O51" s="92" t="str">
        <f>IF(ISERROR((VLOOKUP(CONCATENATE(Budget!$AQ$13,Budget!$K$8,Budget!$J$8),Budget!$CP$4:$CX$310,9)+(Budget!$AP$18*(1+$J$5)))),"",(VLOOKUP(CONCATENATE(Budget!$AQ$13,Budget!$K$8,Budget!$J$8),Budget!$CP$4:$CX$310,9)+(Budget!$AP$18*(1+$J$5))))</f>
        <v/>
      </c>
      <c r="P51" s="388" t="str">
        <f t="shared" si="4"/>
        <v/>
      </c>
      <c r="Q51" s="388" t="str">
        <f t="shared" si="5"/>
        <v/>
      </c>
      <c r="R51" s="388"/>
      <c r="S51" s="37"/>
      <c r="T51" s="262" t="str">
        <f t="shared" si="12"/>
        <v/>
      </c>
      <c r="V51" t="s">
        <v>479</v>
      </c>
      <c r="W51" t="s">
        <v>663</v>
      </c>
      <c r="X51" t="s">
        <v>630</v>
      </c>
      <c r="Y51" t="s">
        <v>33</v>
      </c>
      <c r="Z51">
        <v>21.48</v>
      </c>
      <c r="AA51">
        <v>22.34</v>
      </c>
      <c r="AC51" s="262"/>
      <c r="AD51" s="501"/>
    </row>
    <row r="52" spans="2:37" ht="11.4" customHeight="1">
      <c r="B52" s="27" t="str">
        <f t="shared" si="20"/>
        <v>TraditionalCommunity Supports WaiverCareer Exploration - Large</v>
      </c>
      <c r="C52" s="27" t="s">
        <v>139</v>
      </c>
      <c r="D52" s="27" t="s">
        <v>200</v>
      </c>
      <c r="E52" s="27" t="s">
        <v>33</v>
      </c>
      <c r="F52" s="27" t="s">
        <v>377</v>
      </c>
      <c r="G52" s="27" t="s">
        <v>141</v>
      </c>
      <c r="H52" s="27" t="s">
        <v>134</v>
      </c>
      <c r="I52" s="92" t="str">
        <f>IF(ISERROR((VLOOKUP(CONCATENATE(Budget!$AQ$13,Budget!$K$8,Budget!$J$8),Budget!$CF$4:$CN$310,9)+Budget!$AP$18)),"",(VLOOKUP(CONCATENATE(Budget!$AQ$13,Budget!$K$8,Budget!$J$8),Budget!$CF$4:$CN$310,9)+Budget!$AP$18))</f>
        <v/>
      </c>
      <c r="J52" s="65" t="str">
        <f t="shared" si="21"/>
        <v/>
      </c>
      <c r="K52" s="92" t="str">
        <f>IF(ISERROR((VLOOKUP(CONCATENATE(Budget!$AQ$13,Budget!$K$8,Budget!$J$8),Budget!$CP$4:$CX$310,9)+(Budget!$AP$18*(1+$J$5)))),"",(VLOOKUP(CONCATENATE(Budget!$AQ$13,Budget!$K$8,Budget!$J$8),Budget!$CP$4:$CX$310,9)+(Budget!$AP$18*(1+$J$5))))</f>
        <v/>
      </c>
      <c r="L52" s="65" t="str">
        <f t="shared" si="22"/>
        <v/>
      </c>
      <c r="M52" s="92" t="str">
        <f>IF(ISERROR((VLOOKUP(CONCATENATE(Budget!$AQ$13,Budget!$K$8,Budget!$J$8),Budget!$CP$4:$CX$310,9)+(Budget!$AP$18*(1+$J$5)))),"",(VLOOKUP(CONCATENATE(Budget!$AQ$13,Budget!$K$8,Budget!$J$8),Budget!$CP$4:$CX$310,9)+(Budget!$AP$18*(1+$J$5))))</f>
        <v/>
      </c>
      <c r="N52" s="65" t="str">
        <f t="shared" si="24"/>
        <v/>
      </c>
      <c r="O52" s="92" t="str">
        <f>IF(ISERROR((VLOOKUP(CONCATENATE(Budget!$AQ$13,Budget!$K$8,Budget!$J$8),Budget!$CP$4:$CX$310,9)+(Budget!$AP$18*(1+$J$5)))),"",(VLOOKUP(CONCATENATE(Budget!$AQ$13,Budget!$K$8,Budget!$J$8),Budget!$CP$4:$CX$310,9)+(Budget!$AP$18*(1+$J$5))))</f>
        <v/>
      </c>
      <c r="P52" s="388" t="str">
        <f t="shared" si="4"/>
        <v/>
      </c>
      <c r="Q52" s="388" t="str">
        <f t="shared" si="5"/>
        <v/>
      </c>
      <c r="R52" s="388"/>
      <c r="S52" s="39" t="s">
        <v>212</v>
      </c>
      <c r="T52" s="262" t="str">
        <f t="shared" si="12"/>
        <v/>
      </c>
      <c r="V52" t="s">
        <v>336</v>
      </c>
      <c r="W52" t="s">
        <v>663</v>
      </c>
      <c r="X52" t="s">
        <v>623</v>
      </c>
      <c r="Y52" t="s">
        <v>33</v>
      </c>
      <c r="Z52">
        <v>21.48</v>
      </c>
      <c r="AA52">
        <v>22.34</v>
      </c>
      <c r="AC52" s="262"/>
      <c r="AD52" s="501"/>
    </row>
    <row r="53" spans="2:37" ht="11.4" customHeight="1">
      <c r="B53" s="27" t="str">
        <f t="shared" si="20"/>
        <v>TraditionalCommunity Pathways WaiverCareer Exploration - Small</v>
      </c>
      <c r="C53" s="27" t="s">
        <v>138</v>
      </c>
      <c r="D53" s="27" t="s">
        <v>298</v>
      </c>
      <c r="E53" s="27" t="s">
        <v>33</v>
      </c>
      <c r="F53" s="27" t="s">
        <v>377</v>
      </c>
      <c r="G53" s="27" t="s">
        <v>311</v>
      </c>
      <c r="H53" s="27" t="s">
        <v>134</v>
      </c>
      <c r="I53" s="92" t="str">
        <f>IF(ISERROR((VLOOKUP(CONCATENATE(Budget!$AQ$13,Budget!$K$8,Budget!$J$8),Budget!$CF$4:$CN$310,9)+Budget!$AP$18)),"",(VLOOKUP(CONCATENATE(Budget!$AQ$13,Budget!$K$8,Budget!$J$8),Budget!$CF$4:$CN$310,9)+Budget!$AP$18))</f>
        <v/>
      </c>
      <c r="J53" s="65" t="str">
        <f t="shared" si="21"/>
        <v/>
      </c>
      <c r="K53" s="92" t="str">
        <f>IF(ISERROR((VLOOKUP(CONCATENATE(Budget!$AQ$13,Budget!$K$8,Budget!$J$8),Budget!$CP$4:$CX$310,9)+(Budget!$AP$18*(1+$J$5)))),"",(VLOOKUP(CONCATENATE(Budget!$AQ$13,Budget!$K$8,Budget!$J$8),Budget!$CP$4:$CX$310,9)+(Budget!$AP$18*(1+$J$5))))</f>
        <v/>
      </c>
      <c r="L53" s="65" t="str">
        <f t="shared" si="22"/>
        <v/>
      </c>
      <c r="M53" s="92" t="str">
        <f>IF(ISERROR((VLOOKUP(CONCATENATE(Budget!$AQ$13,Budget!$K$8,Budget!$J$8),Budget!$CP$4:$CX$310,9)+(Budget!$AP$18*(1+$J$5)))),"",(VLOOKUP(CONCATENATE(Budget!$AQ$13,Budget!$K$8,Budget!$J$8),Budget!$CP$4:$CX$310,9)+(Budget!$AP$18*(1+$J$5))))</f>
        <v/>
      </c>
      <c r="N53" s="65" t="str">
        <f t="shared" si="24"/>
        <v/>
      </c>
      <c r="O53" s="92" t="str">
        <f>IF(ISERROR((VLOOKUP(CONCATENATE(Budget!$AQ$13,Budget!$K$8,Budget!$J$8),Budget!$CP$4:$CX$310,9)+(Budget!$AP$18*(1+$J$5)))),"",(VLOOKUP(CONCATENATE(Budget!$AQ$13,Budget!$K$8,Budget!$J$8),Budget!$CP$4:$CX$310,9)+(Budget!$AP$18*(1+$J$5))))</f>
        <v/>
      </c>
      <c r="P53" s="388" t="str">
        <f t="shared" si="4"/>
        <v/>
      </c>
      <c r="Q53" s="388" t="str">
        <f t="shared" si="5"/>
        <v/>
      </c>
      <c r="R53" s="388"/>
      <c r="S53" s="39"/>
      <c r="T53" s="262" t="str">
        <f t="shared" si="12"/>
        <v/>
      </c>
      <c r="V53" t="s">
        <v>98</v>
      </c>
      <c r="W53" t="s">
        <v>669</v>
      </c>
      <c r="X53" t="s">
        <v>627</v>
      </c>
      <c r="Y53" t="s">
        <v>127</v>
      </c>
      <c r="Z53">
        <v>10.34</v>
      </c>
      <c r="AA53">
        <v>0</v>
      </c>
      <c r="AC53" s="262"/>
      <c r="AD53" s="501"/>
    </row>
    <row r="54" spans="2:37" ht="11.4" customHeight="1">
      <c r="B54" s="18" t="str">
        <f t="shared" si="20"/>
        <v>TraditionalCommunity Supports WaiverCareer Exploration - Small</v>
      </c>
      <c r="C54" s="18" t="s">
        <v>138</v>
      </c>
      <c r="D54" s="18" t="s">
        <v>200</v>
      </c>
      <c r="E54" s="18" t="s">
        <v>33</v>
      </c>
      <c r="F54" s="18" t="s">
        <v>377</v>
      </c>
      <c r="G54" s="18" t="s">
        <v>44</v>
      </c>
      <c r="H54" s="18" t="s">
        <v>134</v>
      </c>
      <c r="I54" s="92" t="str">
        <f>IF(ISERROR((VLOOKUP(CONCATENATE(Budget!$AQ$13,Budget!$K$8,Budget!$J$8),Budget!$CF$4:$CN$310,9)+Budget!$AP$18)),"",(VLOOKUP(CONCATENATE(Budget!$AQ$13,Budget!$K$8,Budget!$J$8),Budget!$CF$4:$CN$310,9)+Budget!$AP$18))</f>
        <v/>
      </c>
      <c r="J54" s="96" t="str">
        <f t="shared" si="21"/>
        <v/>
      </c>
      <c r="K54" s="92" t="str">
        <f>IF(ISERROR((VLOOKUP(CONCATENATE(Budget!$AQ$13,Budget!$K$8,Budget!$J$8),Budget!$CP$4:$CX$310,9)+(Budget!$AP$18*(1+$J$5)))),"",(VLOOKUP(CONCATENATE(Budget!$AQ$13,Budget!$K$8,Budget!$J$8),Budget!$CP$4:$CX$310,9)+(Budget!$AP$18*(1+$J$5))))</f>
        <v/>
      </c>
      <c r="L54" s="96" t="str">
        <f t="shared" si="22"/>
        <v/>
      </c>
      <c r="M54" s="92" t="str">
        <f>IF(ISERROR((VLOOKUP(CONCATENATE(Budget!$AQ$13,Budget!$K$8,Budget!$J$8),Budget!$CP$4:$CX$310,9)+(Budget!$AP$18*(1+$J$5)))),"",(VLOOKUP(CONCATENATE(Budget!$AQ$13,Budget!$K$8,Budget!$J$8),Budget!$CP$4:$CX$310,9)+(Budget!$AP$18*(1+$J$5))))</f>
        <v/>
      </c>
      <c r="N54" s="96" t="str">
        <f t="shared" si="24"/>
        <v/>
      </c>
      <c r="O54" s="92" t="str">
        <f>IF(ISERROR((VLOOKUP(CONCATENATE(Budget!$AQ$13,Budget!$K$8,Budget!$J$8),Budget!$CP$4:$CX$310,9)+(Budget!$AP$18*(1+$J$5)))),"",(VLOOKUP(CONCATENATE(Budget!$AQ$13,Budget!$K$8,Budget!$J$8),Budget!$CP$4:$CX$310,9)+(Budget!$AP$18*(1+$J$5))))</f>
        <v/>
      </c>
      <c r="P54" s="388" t="str">
        <f t="shared" si="4"/>
        <v/>
      </c>
      <c r="Q54" s="388" t="str">
        <f t="shared" si="5"/>
        <v/>
      </c>
      <c r="R54" s="388"/>
      <c r="S54" s="37" t="s">
        <v>212</v>
      </c>
      <c r="T54" s="262" t="str">
        <f t="shared" si="12"/>
        <v/>
      </c>
      <c r="V54" t="s">
        <v>100</v>
      </c>
      <c r="W54" t="s">
        <v>669</v>
      </c>
      <c r="X54" t="s">
        <v>630</v>
      </c>
      <c r="Y54" t="s">
        <v>127</v>
      </c>
      <c r="Z54">
        <v>10.34</v>
      </c>
      <c r="AA54">
        <v>0</v>
      </c>
      <c r="AC54" s="262"/>
      <c r="AD54" s="501"/>
    </row>
    <row r="55" spans="2:37" ht="11.4" customHeight="1">
      <c r="B55" s="27" t="str">
        <f t="shared" si="20"/>
        <v>Self-DirectionCommunity Pathways WaiverCommunity Development Services</v>
      </c>
      <c r="C55" s="27" t="s">
        <v>136</v>
      </c>
      <c r="D55" s="27" t="s">
        <v>298</v>
      </c>
      <c r="E55" s="27" t="s">
        <v>127</v>
      </c>
      <c r="F55" s="27" t="s">
        <v>214</v>
      </c>
      <c r="G55" s="27" t="s">
        <v>313</v>
      </c>
      <c r="H55" s="27" t="s">
        <v>134</v>
      </c>
      <c r="I55" s="92" t="str">
        <f>IF(ISERROR((VLOOKUP(CONCATENATE(Budget!$AQ$13,Budget!$K$8,Budget!$J$8),Budget!$CF$4:$CN$310,9)+Budget!$AP$18)),"",(VLOOKUP(CONCATENATE(Budget!$AQ$13,Budget!$K$8,Budget!$J$8),Budget!$CF$4:$CN$310,9)+Budget!$AP$18))</f>
        <v/>
      </c>
      <c r="J55" s="65" t="str">
        <f t="shared" si="21"/>
        <v/>
      </c>
      <c r="K55" s="92" t="str">
        <f>IF(ISERROR((VLOOKUP(CONCATENATE(Budget!$AQ$13,Budget!$K$8,Budget!$J$8),Budget!$CP$4:$CX$310,9)+(Budget!$AP$18*(1+$J$5)))),"",(VLOOKUP(CONCATENATE(Budget!$AQ$13,Budget!$K$8,Budget!$J$8),Budget!$CP$4:$CX$310,9)+(Budget!$AP$18*(1+$J$5))))</f>
        <v/>
      </c>
      <c r="L55" s="65" t="str">
        <f t="shared" si="22"/>
        <v/>
      </c>
      <c r="M55" s="92" t="str">
        <f>IF(ISERROR((VLOOKUP(CONCATENATE(Budget!$AQ$13,Budget!$K$8,Budget!$J$8),Budget!$CP$4:$CX$310,9)+(Budget!$AP$18*(1+$J$5)))),"",(VLOOKUP(CONCATENATE(Budget!$AQ$13,Budget!$K$8,Budget!$J$8),Budget!$CP$4:$CX$310,9)+(Budget!$AP$18*(1+$J$5))))</f>
        <v/>
      </c>
      <c r="N55" s="65" t="str">
        <f t="shared" si="24"/>
        <v/>
      </c>
      <c r="O55" s="92" t="str">
        <f>IF(ISERROR((VLOOKUP(CONCATENATE(Budget!$AQ$13,Budget!$K$8,Budget!$J$8),Budget!$CP$4:$CX$310,9)+(Budget!$AP$18*(1+$J$5)))),"",(VLOOKUP(CONCATENATE(Budget!$AQ$13,Budget!$K$8,Budget!$J$8),Budget!$CP$4:$CX$310,9)+(Budget!$AP$18*(1+$J$5))))</f>
        <v/>
      </c>
      <c r="P55" s="388" t="str">
        <f t="shared" si="4"/>
        <v/>
      </c>
      <c r="Q55" s="388" t="str">
        <f t="shared" si="5"/>
        <v/>
      </c>
      <c r="R55" s="388"/>
      <c r="S55" s="39"/>
      <c r="T55" s="262" t="str">
        <f t="shared" si="12"/>
        <v/>
      </c>
      <c r="V55" t="s">
        <v>426</v>
      </c>
      <c r="W55" t="s">
        <v>663</v>
      </c>
      <c r="X55" t="s">
        <v>627</v>
      </c>
      <c r="Y55" t="s">
        <v>33</v>
      </c>
      <c r="Z55">
        <v>21.48</v>
      </c>
      <c r="AA55">
        <v>22.34</v>
      </c>
      <c r="AC55" s="262"/>
      <c r="AD55" s="501"/>
    </row>
    <row r="56" spans="2:37" ht="11.4" customHeight="1">
      <c r="B56" s="27" t="str">
        <f t="shared" si="20"/>
        <v>Self-DirectionCommunity Supports WaiverCommunity Development Services</v>
      </c>
      <c r="C56" s="27" t="s">
        <v>136</v>
      </c>
      <c r="D56" s="27" t="s">
        <v>200</v>
      </c>
      <c r="E56" s="27" t="s">
        <v>127</v>
      </c>
      <c r="F56" s="27" t="s">
        <v>214</v>
      </c>
      <c r="G56" s="27" t="s">
        <v>37</v>
      </c>
      <c r="H56" s="27" t="s">
        <v>134</v>
      </c>
      <c r="I56" s="92" t="str">
        <f>IF(ISERROR(VLOOKUP(CONCATENATE(Budget!$AQ$13,Budget!$K$6,Budget!$J$6),Budget!$CF$4:$CN$310,9)+Budget!$AP$18),"",VLOOKUP(CONCATENATE(Budget!$AQ$13,Budget!$K$6,Budget!$J$6),Budget!$CF$4:$CN$310,9)+Budget!$AP$18)</f>
        <v/>
      </c>
      <c r="J56" s="65" t="str">
        <f t="shared" si="21"/>
        <v/>
      </c>
      <c r="K56" s="92" t="str">
        <f>IF(ISERROR(VLOOKUP(CONCATENATE(Budget!$AQ$13,Budget!$K$6,Budget!$J$6),Budget!$CP$4:$CX$310,9)+Budget!$AP$18*(1+$J$5)),"",VLOOKUP(CONCATENATE(Budget!$AQ$13,Budget!$K$6,Budget!$J$6),Budget!$CP$4:$CX$310,9)+Budget!$AP$18*(1+$J$5))</f>
        <v/>
      </c>
      <c r="L56" s="65" t="str">
        <f t="shared" si="22"/>
        <v/>
      </c>
      <c r="M56" s="92" t="str">
        <f>IF(ISERROR(VLOOKUP(CONCATENATE(Budget!$AQ$13,Budget!$K$6,Budget!$J$6),Budget!$CP$4:$CX$310,9)+Budget!$AP$18*(1+$J$5)),"",VLOOKUP(CONCATENATE(Budget!$AQ$13,Budget!$K$6,Budget!$J$6),Budget!$CP$4:$CX$310,9)+Budget!$AP$18*(1+$J$5))</f>
        <v/>
      </c>
      <c r="N56" s="65" t="str">
        <f t="shared" si="24"/>
        <v/>
      </c>
      <c r="O56" s="92" t="str">
        <f>IF(ISERROR(VLOOKUP(CONCATENATE(Budget!$AQ$13,Budget!$K$6,Budget!$J$6),Budget!$CP$4:$CX$310,9)+Budget!$AP$18*(1+$J$5)),"",VLOOKUP(CONCATENATE(Budget!$AQ$13,Budget!$K$6,Budget!$J$6),Budget!$CP$4:$CX$310,9)+Budget!$AP$18*(1+$J$5))</f>
        <v/>
      </c>
      <c r="P56" s="388">
        <f t="shared" si="4"/>
        <v>1089</v>
      </c>
      <c r="Q56" s="388">
        <f t="shared" si="5"/>
        <v>1133</v>
      </c>
      <c r="R56" s="388"/>
      <c r="S56" s="39" t="s">
        <v>212</v>
      </c>
      <c r="T56" s="262">
        <f t="shared" si="12"/>
        <v>4.0404040404040442E-2</v>
      </c>
      <c r="V56" t="s">
        <v>427</v>
      </c>
      <c r="W56" t="s">
        <v>663</v>
      </c>
      <c r="X56" t="s">
        <v>627</v>
      </c>
      <c r="Y56" t="s">
        <v>127</v>
      </c>
      <c r="Z56">
        <v>21.48</v>
      </c>
      <c r="AA56">
        <v>22.34</v>
      </c>
      <c r="AC56" s="262"/>
      <c r="AD56" s="501"/>
    </row>
    <row r="57" spans="2:37" ht="11.4" customHeight="1">
      <c r="B57" s="18" t="str">
        <f t="shared" si="20"/>
        <v>TraditionalCommunity Pathways WaiverCommunity Development Services</v>
      </c>
      <c r="C57" s="18" t="s">
        <v>136</v>
      </c>
      <c r="D57" s="18" t="s">
        <v>298</v>
      </c>
      <c r="E57" s="18" t="s">
        <v>33</v>
      </c>
      <c r="F57" s="18" t="s">
        <v>214</v>
      </c>
      <c r="G57" s="18" t="s">
        <v>312</v>
      </c>
      <c r="H57" s="18" t="s">
        <v>134</v>
      </c>
      <c r="I57" s="92" t="str">
        <f>IF(ISERROR((VLOOKUP(CONCATENATE(Budget!$AQ$13,Budget!$K$8,Budget!$J$8),Budget!$CF$4:$CN$310,9)+Budget!$AP$18)),"",(VLOOKUP(CONCATENATE(Budget!$AQ$13,Budget!$K$8,Budget!$J$8),Budget!$CF$4:$CN$310,9)+Budget!$AP$18))</f>
        <v/>
      </c>
      <c r="J57" s="96" t="str">
        <f t="shared" si="21"/>
        <v/>
      </c>
      <c r="K57" s="92" t="str">
        <f>IF(ISERROR((VLOOKUP(CONCATENATE(Budget!$AQ$13,Budget!$K$8,Budget!$J$8),Budget!$CP$4:$CX$310,9)+(Budget!$AP$18*(1+$J$5)))),"",(VLOOKUP(CONCATENATE(Budget!$AQ$13,Budget!$K$8,Budget!$J$8),Budget!$CP$4:$CX$310,9)+(Budget!$AP$18*(1+$J$5))))</f>
        <v/>
      </c>
      <c r="L57" s="96" t="str">
        <f t="shared" si="22"/>
        <v/>
      </c>
      <c r="M57" s="92" t="str">
        <f>IF(ISERROR((VLOOKUP(CONCATENATE(Budget!$AQ$13,Budget!$K$8,Budget!$J$8),Budget!$CP$4:$CX$310,9)+(Budget!$AP$18*(1+$J$5)))),"",(VLOOKUP(CONCATENATE(Budget!$AQ$13,Budget!$K$8,Budget!$J$8),Budget!$CP$4:$CX$310,9)+(Budget!$AP$18*(1+$J$5))))</f>
        <v/>
      </c>
      <c r="N57" s="96" t="str">
        <f t="shared" si="24"/>
        <v/>
      </c>
      <c r="O57" s="92" t="str">
        <f>IF(ISERROR((VLOOKUP(CONCATENATE(Budget!$AQ$13,Budget!$K$8,Budget!$J$8),Budget!$CP$4:$CX$310,9)+(Budget!$AP$18*(1+$J$5)))),"",(VLOOKUP(CONCATENATE(Budget!$AQ$13,Budget!$K$8,Budget!$J$8),Budget!$CP$4:$CX$310,9)+(Budget!$AP$18*(1+$J$5))))</f>
        <v/>
      </c>
      <c r="P57" s="388" t="str">
        <f t="shared" si="4"/>
        <v/>
      </c>
      <c r="Q57" s="388" t="str">
        <f t="shared" si="5"/>
        <v/>
      </c>
      <c r="R57" s="388"/>
      <c r="S57" s="37"/>
      <c r="T57" s="262" t="str">
        <f t="shared" si="12"/>
        <v/>
      </c>
      <c r="V57" t="s">
        <v>351</v>
      </c>
      <c r="W57" t="s">
        <v>671</v>
      </c>
      <c r="X57" t="s">
        <v>623</v>
      </c>
      <c r="Y57" t="s">
        <v>33</v>
      </c>
      <c r="Z57">
        <v>450.42</v>
      </c>
      <c r="AA57">
        <v>468.44</v>
      </c>
      <c r="AC57" s="262"/>
      <c r="AD57" s="501">
        <v>21.48</v>
      </c>
      <c r="AE57" s="501">
        <v>32.22</v>
      </c>
      <c r="AF57" s="502" t="s">
        <v>687</v>
      </c>
      <c r="AG57" s="535" t="s">
        <v>713</v>
      </c>
      <c r="AH57" s="535"/>
      <c r="AI57" s="535"/>
      <c r="AJ57" s="535"/>
      <c r="AK57" s="535"/>
    </row>
    <row r="58" spans="2:37" ht="11.4" customHeight="1">
      <c r="B58" s="27" t="str">
        <f t="shared" si="20"/>
        <v>TraditionalCommunity Supports WaiverCommunity Development Services</v>
      </c>
      <c r="C58" s="27" t="s">
        <v>136</v>
      </c>
      <c r="D58" s="27" t="s">
        <v>200</v>
      </c>
      <c r="E58" s="27" t="s">
        <v>33</v>
      </c>
      <c r="F58" s="27" t="s">
        <v>214</v>
      </c>
      <c r="G58" s="27" t="s">
        <v>36</v>
      </c>
      <c r="H58" s="27" t="s">
        <v>134</v>
      </c>
      <c r="I58" s="92" t="str">
        <f>IF(ISERROR(VLOOKUP(CONCATENATE(Budget!$AQ$13,Budget!$K$6,Budget!$J$6),Budget!$CF$4:$CN$310,9)+Budget!$AP$18),"",VLOOKUP(CONCATENATE(Budget!$AQ$13,Budget!$K$6,Budget!$J$6),Budget!$CF$4:$CN$310,9)+Budget!$AP$18)</f>
        <v/>
      </c>
      <c r="J58" s="65" t="str">
        <f t="shared" si="21"/>
        <v/>
      </c>
      <c r="K58" s="92" t="str">
        <f>IF(ISERROR((VLOOKUP(CONCATENATE(Budget!$AQ$13,Budget!$K$8,Budget!$J$8),Budget!$CP$4:$CX$310,9)+(Budget!$AP$18*(1+$J$5)))),"",(VLOOKUP(CONCATENATE(Budget!$AQ$13,Budget!$K$8,Budget!$J$8),Budget!$CP$4:$CX$310,9)+(Budget!$AP$18*(1+$J$5))))</f>
        <v/>
      </c>
      <c r="L58" s="65" t="str">
        <f t="shared" si="22"/>
        <v/>
      </c>
      <c r="M58" s="92" t="str">
        <f>IF(ISERROR((VLOOKUP(CONCATENATE(Budget!$AQ$13,Budget!$K$8,Budget!$J$8),Budget!$CP$4:$CX$310,9)+(Budget!$AP$18*(1+$J$5)))),"",(VLOOKUP(CONCATENATE(Budget!$AQ$13,Budget!$K$8,Budget!$J$8),Budget!$CP$4:$CX$310,9)+(Budget!$AP$18*(1+$J$5))))</f>
        <v/>
      </c>
      <c r="N58" s="65" t="str">
        <f t="shared" si="24"/>
        <v/>
      </c>
      <c r="O58" s="92" t="str">
        <f>IF(ISERROR((VLOOKUP(CONCATENATE(Budget!$AQ$13,Budget!$K$8,Budget!$J$8),Budget!$CP$4:$CX$310,9)+(Budget!$AP$18*(1+$J$5)))),"",(VLOOKUP(CONCATENATE(Budget!$AQ$13,Budget!$K$8,Budget!$J$8),Budget!$CP$4:$CX$310,9)+(Budget!$AP$18*(1+$J$5))))</f>
        <v/>
      </c>
      <c r="P58" s="388" t="str">
        <f t="shared" si="4"/>
        <v/>
      </c>
      <c r="Q58" s="388" t="str">
        <f t="shared" si="5"/>
        <v/>
      </c>
      <c r="R58" s="388"/>
      <c r="S58" s="39" t="s">
        <v>212</v>
      </c>
      <c r="T58" s="262" t="str">
        <f t="shared" si="12"/>
        <v/>
      </c>
      <c r="V58" t="s">
        <v>107</v>
      </c>
      <c r="W58" t="s">
        <v>671</v>
      </c>
      <c r="X58" t="s">
        <v>627</v>
      </c>
      <c r="Y58" t="s">
        <v>33</v>
      </c>
      <c r="Z58">
        <v>450.42</v>
      </c>
      <c r="AA58">
        <v>468.44</v>
      </c>
      <c r="AC58" s="556"/>
      <c r="AD58" s="501"/>
      <c r="AE58" s="501"/>
      <c r="AF58" s="618">
        <f>+AE57/AD57-1</f>
        <v>0.5</v>
      </c>
      <c r="AG58" t="s">
        <v>763</v>
      </c>
    </row>
    <row r="59" spans="2:37" ht="11.4" customHeight="1">
      <c r="B59" s="18" t="str">
        <f t="shared" si="20"/>
        <v>TraditionalCommunity Pathways WaiverCommunity Living - Group Home</v>
      </c>
      <c r="C59" s="18" t="s">
        <v>314</v>
      </c>
      <c r="D59" s="18" t="s">
        <v>298</v>
      </c>
      <c r="E59" s="18" t="s">
        <v>33</v>
      </c>
      <c r="F59" s="18" t="s">
        <v>315</v>
      </c>
      <c r="G59" s="18" t="s">
        <v>316</v>
      </c>
      <c r="H59" s="18" t="s">
        <v>134</v>
      </c>
      <c r="I59" s="92" t="str">
        <f>IF(ISERROR((VLOOKUP(CONCATENATE(Budget!$AQ$13,Budget!$K$7,Budget!$J$7),Budget!$DA$5:$DI$154,9)+Budget!$AQ$18)),"",(VLOOKUP(CONCATENATE(Budget!$AQ$13,Budget!$K$7,Budget!$J$7),Budget!$DA$5:$DI$154,9)+Budget!$AQ$18))</f>
        <v/>
      </c>
      <c r="J59" s="96" t="str">
        <f t="shared" si="21"/>
        <v/>
      </c>
      <c r="K59" s="92" t="str">
        <f>IF(ISERROR((VLOOKUP(CONCATENATE(Budget!$AQ$13,Budget!$K$7,Budget!$J$7),Budget!$DK$5:$DS$154,9)+(Budget!$AQ$18*(1+$J$5)))),"",(VLOOKUP(CONCATENATE(Budget!$AQ$13,Budget!$K$7,Budget!$J$7),Budget!$DK$5:$DS$154,9)+(Budget!$AQ$18*(1+$J$5))))</f>
        <v/>
      </c>
      <c r="L59" s="96" t="str">
        <f t="shared" si="22"/>
        <v/>
      </c>
      <c r="M59" s="92" t="str">
        <f>IF(ISERROR((VLOOKUP(CONCATENATE(Budget!$AQ$13,Budget!$K$7,Budget!$J$7),Budget!$DK$5:$DS$154,9)+(Budget!$AQ$18*(1+$J$5)))),"",(VLOOKUP(CONCATENATE(Budget!$AQ$13,Budget!$K$7,Budget!$J$7),Budget!$DK$5:$DS$154,9)+(Budget!$AQ$18*(1+$J$5))))</f>
        <v/>
      </c>
      <c r="N59" s="96" t="str">
        <f t="shared" si="24"/>
        <v/>
      </c>
      <c r="O59" s="92" t="str">
        <f>IF(ISERROR((VLOOKUP(CONCATENATE(Budget!$AQ$13,Budget!$K$7,Budget!$J$7),Budget!$DK$5:$DS$154,9)+(Budget!$AQ$18*(1+$J$5)))),"",(VLOOKUP(CONCATENATE(Budget!$AQ$13,Budget!$K$7,Budget!$J$7),Budget!$DK$5:$DS$154,9)+(Budget!$AQ$18*(1+$J$5))))</f>
        <v/>
      </c>
      <c r="P59" s="388" t="str">
        <f t="shared" si="4"/>
        <v/>
      </c>
      <c r="Q59" s="388" t="str">
        <f t="shared" si="5"/>
        <v/>
      </c>
      <c r="R59" s="388"/>
      <c r="S59" s="37"/>
      <c r="T59" s="262" t="str">
        <f t="shared" si="12"/>
        <v/>
      </c>
      <c r="V59" t="s">
        <v>108</v>
      </c>
      <c r="W59" t="s">
        <v>671</v>
      </c>
      <c r="X59" t="s">
        <v>627</v>
      </c>
      <c r="Y59" t="s">
        <v>127</v>
      </c>
      <c r="Z59">
        <v>450.42</v>
      </c>
      <c r="AA59">
        <v>468.44</v>
      </c>
      <c r="AC59" s="556"/>
      <c r="AD59" s="501"/>
      <c r="AE59" s="501"/>
      <c r="AF59" s="262"/>
    </row>
    <row r="60" spans="2:37" ht="11.4" customHeight="1">
      <c r="B60" s="27" t="str">
        <f t="shared" si="20"/>
        <v>TraditionalCommunity Pathways WaiverCommunity Living - Group Home Retainer Fee</v>
      </c>
      <c r="C60" s="27" t="s">
        <v>317</v>
      </c>
      <c r="D60" s="27" t="s">
        <v>298</v>
      </c>
      <c r="E60" s="27" t="s">
        <v>33</v>
      </c>
      <c r="F60" s="27" t="s">
        <v>315</v>
      </c>
      <c r="G60" s="27" t="s">
        <v>318</v>
      </c>
      <c r="H60" s="27" t="s">
        <v>134</v>
      </c>
      <c r="I60" s="92" t="str">
        <f>IF(ISERROR((VLOOKUP(CONCATENATE(Budget!$AQ$13,Budget!$K$7,Budget!$J$7),Budget!$DA$5:$DI$154,9)+Budget!$AQ$18)),"",(VLOOKUP(CONCATENATE(Budget!$AQ$13,Budget!$K$7,Budget!$J$7),Budget!$DA$5:$DI$154,9)+Budget!$AQ$18))</f>
        <v/>
      </c>
      <c r="J60" s="65" t="str">
        <f t="shared" si="21"/>
        <v/>
      </c>
      <c r="K60" s="92" t="str">
        <f>IF(ISERROR((VLOOKUP(CONCATENATE(Budget!$AQ$13,Budget!$K$7,Budget!$J$7),Budget!$DK$5:$DS$154,9)+(Budget!$AQ$18*(1+$J$5)))),"",(VLOOKUP(CONCATENATE(Budget!$AQ$13,Budget!$K$7,Budget!$J$7),Budget!$DK$5:$DS$154,9)+(Budget!$AQ$18*(1+$J$5))))</f>
        <v/>
      </c>
      <c r="L60" s="65" t="str">
        <f t="shared" si="22"/>
        <v/>
      </c>
      <c r="M60" s="92" t="str">
        <f>IF(ISERROR((VLOOKUP(CONCATENATE(Budget!$AQ$13,Budget!$K$7,Budget!$J$7),Budget!$DK$5:$DS$154,9)+(Budget!$AQ$18*(1+$J$5)))),"",(VLOOKUP(CONCATENATE(Budget!$AQ$13,Budget!$K$7,Budget!$J$7),Budget!$DK$5:$DS$154,9)+(Budget!$AQ$18*(1+$J$5))))</f>
        <v/>
      </c>
      <c r="N60" s="65" t="str">
        <f t="shared" si="24"/>
        <v/>
      </c>
      <c r="O60" s="92" t="str">
        <f>IF(ISERROR((VLOOKUP(CONCATENATE(Budget!$AQ$13,Budget!$K$7,Budget!$J$7),Budget!$DK$5:$DS$154,9)+(Budget!$AQ$18*(1+$J$5)))),"",(VLOOKUP(CONCATENATE(Budget!$AQ$13,Budget!$K$7,Budget!$J$7),Budget!$DK$5:$DS$154,9)+(Budget!$AQ$18*(1+$J$5))))</f>
        <v/>
      </c>
      <c r="P60" s="388" t="str">
        <f t="shared" si="4"/>
        <v/>
      </c>
      <c r="Q60" s="388" t="str">
        <f t="shared" si="5"/>
        <v/>
      </c>
      <c r="R60" s="388"/>
      <c r="S60" s="39"/>
      <c r="T60" s="262" t="str">
        <f t="shared" si="12"/>
        <v/>
      </c>
      <c r="V60" t="s">
        <v>109</v>
      </c>
      <c r="W60" t="s">
        <v>671</v>
      </c>
      <c r="X60" t="s">
        <v>630</v>
      </c>
      <c r="Y60" t="s">
        <v>33</v>
      </c>
      <c r="Z60">
        <v>450.42</v>
      </c>
      <c r="AA60">
        <v>468.44</v>
      </c>
      <c r="AC60" s="262"/>
      <c r="AD60" s="501"/>
      <c r="AE60" s="501"/>
      <c r="AF60" s="262"/>
    </row>
    <row r="61" spans="2:37" ht="11.4" customHeight="1">
      <c r="B61" s="18" t="str">
        <f t="shared" si="20"/>
        <v>TraditionalCommunity Pathways WaiverCommunity Living - Group Home Trial Experience</v>
      </c>
      <c r="C61" s="18" t="s">
        <v>319</v>
      </c>
      <c r="D61" s="18" t="s">
        <v>298</v>
      </c>
      <c r="E61" s="18" t="s">
        <v>33</v>
      </c>
      <c r="F61" s="18" t="s">
        <v>315</v>
      </c>
      <c r="G61" s="18" t="s">
        <v>320</v>
      </c>
      <c r="H61" s="18" t="s">
        <v>134</v>
      </c>
      <c r="I61" s="92" t="str">
        <f>IF(ISERROR((VLOOKUP(CONCATENATE(Budget!$AQ$13,Budget!$K$7,Budget!$J$7),Budget!$DA$5:$DI$154,9)+Budget!$AQ$18)),"",(VLOOKUP(CONCATENATE(Budget!$AQ$13,Budget!$K$7,Budget!$J$7),Budget!$DA$5:$DI$154,9)+Budget!$AQ$18))</f>
        <v/>
      </c>
      <c r="J61" s="96" t="str">
        <f t="shared" si="21"/>
        <v/>
      </c>
      <c r="K61" s="92" t="str">
        <f>IF(ISERROR((VLOOKUP(CONCATENATE(Budget!$AQ$13,Budget!$K$7,Budget!$J$7),Budget!$DK$5:$DS$154,9)+(Budget!$AQ$18*(1+$J$5)))),"",(VLOOKUP(CONCATENATE(Budget!$AQ$13,Budget!$K$7,Budget!$J$7),Budget!$DK$5:$DS$154,9)+(Budget!$AQ$18*(1+$J$5))))</f>
        <v/>
      </c>
      <c r="L61" s="96" t="str">
        <f t="shared" si="22"/>
        <v/>
      </c>
      <c r="M61" s="92" t="str">
        <f>IF(ISERROR((VLOOKUP(CONCATENATE(Budget!$AQ$13,Budget!$K$7,Budget!$J$7),Budget!$DK$5:$DS$154,9)+(Budget!$AQ$18*(1+$J$5)))),"",(VLOOKUP(CONCATENATE(Budget!$AQ$13,Budget!$K$7,Budget!$J$7),Budget!$DK$5:$DS$154,9)+(Budget!$AQ$18*(1+$J$5))))</f>
        <v/>
      </c>
      <c r="N61" s="96" t="str">
        <f t="shared" si="24"/>
        <v/>
      </c>
      <c r="O61" s="92" t="str">
        <f>IF(ISERROR((VLOOKUP(CONCATENATE(Budget!$AQ$13,Budget!$K$7,Budget!$J$7),Budget!$DK$5:$DS$154,9)+(Budget!$AQ$18*(1+$J$5)))),"",(VLOOKUP(CONCATENATE(Budget!$AQ$13,Budget!$K$7,Budget!$J$7),Budget!$DK$5:$DS$154,9)+(Budget!$AQ$18*(1+$J$5))))</f>
        <v/>
      </c>
      <c r="P61" s="388" t="str">
        <f t="shared" si="4"/>
        <v/>
      </c>
      <c r="Q61" s="388" t="str">
        <f t="shared" si="5"/>
        <v/>
      </c>
      <c r="R61" s="388"/>
      <c r="S61" s="37"/>
      <c r="T61" s="262" t="str">
        <f t="shared" si="12"/>
        <v/>
      </c>
      <c r="V61" t="s">
        <v>110</v>
      </c>
      <c r="W61" t="s">
        <v>671</v>
      </c>
      <c r="X61" t="s">
        <v>630</v>
      </c>
      <c r="Y61" t="s">
        <v>127</v>
      </c>
      <c r="Z61">
        <v>450.42</v>
      </c>
      <c r="AA61">
        <v>468.44</v>
      </c>
      <c r="AC61" s="262"/>
      <c r="AD61" s="501"/>
      <c r="AE61" s="501"/>
      <c r="AF61" s="262"/>
    </row>
    <row r="62" spans="2:37" ht="11.4" customHeight="1">
      <c r="B62" s="27" t="str">
        <f t="shared" si="20"/>
        <v>Self-DirectionCommunity Pathways WaiverDay Habilitation</v>
      </c>
      <c r="C62" s="27" t="s">
        <v>137</v>
      </c>
      <c r="D62" s="27" t="s">
        <v>298</v>
      </c>
      <c r="E62" s="27" t="s">
        <v>127</v>
      </c>
      <c r="F62" s="27" t="s">
        <v>214</v>
      </c>
      <c r="G62" s="27" t="s">
        <v>475</v>
      </c>
      <c r="H62" s="27" t="s">
        <v>134</v>
      </c>
      <c r="I62" s="92" t="str">
        <f>IF(ISERROR((VLOOKUP(CONCATENATE(Budget!$AQ$13,Budget!$K$8,Budget!$J$8),Budget!$CF$4:$CN$310,9)+Budget!$AP$18)),"",(VLOOKUP(CONCATENATE(Budget!$AQ$13,Budget!$K$8,Budget!$J$8),Budget!$CF$4:$CN$310,9)+Budget!$AP$18))</f>
        <v/>
      </c>
      <c r="J62" s="65" t="str">
        <f t="shared" si="21"/>
        <v/>
      </c>
      <c r="K62" s="92" t="str">
        <f>IF(ISERROR(VLOOKUP(CONCATENATE(Budget!$AQ$13,Budget!$K$6,Budget!$J$6),Budget!$CP$4:$CX$310,9)+Budget!$AP$18*(1+$J$5)),"",VLOOKUP(CONCATENATE(Budget!$AQ$13,Budget!$K$6,Budget!$J$6),Budget!$CP$4:$CX$310,9)+Budget!$AP$18*(1+$J$5))</f>
        <v/>
      </c>
      <c r="L62" s="65" t="str">
        <f t="shared" si="22"/>
        <v/>
      </c>
      <c r="M62" s="92" t="str">
        <f>IF(ISERROR(VLOOKUP(CONCATENATE(Budget!$AQ$13,Budget!$K$6,Budget!$J$6),Budget!$CP$4:$CX$310,9)+Budget!$AP$18*(1+$J$5)),"",VLOOKUP(CONCATENATE(Budget!$AQ$13,Budget!$K$6,Budget!$J$6),Budget!$CP$4:$CX$310,9)+Budget!$AP$18*(1+$J$5))</f>
        <v/>
      </c>
      <c r="N62" s="65" t="str">
        <f t="shared" si="24"/>
        <v/>
      </c>
      <c r="O62" s="92" t="str">
        <f>IF(ISERROR(VLOOKUP(CONCATENATE(Budget!$AQ$13,Budget!$K$6,Budget!$J$6),Budget!$CP$4:$CX$310,9)+Budget!$AP$18*(1+$J$5)),"",VLOOKUP(CONCATENATE(Budget!$AQ$13,Budget!$K$6,Budget!$J$6),Budget!$CP$4:$CX$310,9)+Budget!$AP$18*(1+$J$5))</f>
        <v/>
      </c>
      <c r="P62" s="388" t="str">
        <f t="shared" si="4"/>
        <v/>
      </c>
      <c r="Q62" s="388" t="str">
        <f t="shared" si="5"/>
        <v/>
      </c>
      <c r="R62" s="388"/>
      <c r="S62" s="39"/>
      <c r="T62" s="262" t="str">
        <f t="shared" si="12"/>
        <v/>
      </c>
      <c r="V62" t="s">
        <v>353</v>
      </c>
      <c r="W62" t="s">
        <v>671</v>
      </c>
      <c r="X62" t="s">
        <v>623</v>
      </c>
      <c r="Y62" t="s">
        <v>33</v>
      </c>
      <c r="Z62">
        <v>32.340000000000003</v>
      </c>
      <c r="AA62">
        <v>33.630000000000003</v>
      </c>
      <c r="AC62" s="262"/>
      <c r="AD62" s="501">
        <v>450.42</v>
      </c>
      <c r="AE62" s="501">
        <v>450.42</v>
      </c>
      <c r="AF62" s="502" t="s">
        <v>687</v>
      </c>
      <c r="AG62" s="503" t="s">
        <v>688</v>
      </c>
    </row>
    <row r="63" spans="2:37" ht="11.4" customHeight="1">
      <c r="B63" s="27" t="str">
        <f t="shared" si="20"/>
        <v>Self-DirectionCommunity Supports WaiverDay Habilitation</v>
      </c>
      <c r="C63" s="27" t="s">
        <v>137</v>
      </c>
      <c r="D63" s="27" t="s">
        <v>200</v>
      </c>
      <c r="E63" s="27" t="s">
        <v>127</v>
      </c>
      <c r="F63" s="27" t="s">
        <v>214</v>
      </c>
      <c r="G63" s="27" t="s">
        <v>474</v>
      </c>
      <c r="H63" s="27" t="s">
        <v>134</v>
      </c>
      <c r="I63" s="92"/>
      <c r="J63" s="65"/>
      <c r="K63" s="92"/>
      <c r="L63" s="65"/>
      <c r="M63" s="92"/>
      <c r="N63" s="65"/>
      <c r="O63" s="92"/>
      <c r="P63" s="388" t="str">
        <f t="shared" si="4"/>
        <v/>
      </c>
      <c r="Q63" s="388" t="str">
        <f t="shared" si="5"/>
        <v/>
      </c>
      <c r="R63" s="388"/>
      <c r="S63" s="39"/>
      <c r="T63" s="262" t="str">
        <f t="shared" si="12"/>
        <v/>
      </c>
      <c r="V63" t="s">
        <v>112</v>
      </c>
      <c r="W63" t="s">
        <v>671</v>
      </c>
      <c r="X63" t="s">
        <v>627</v>
      </c>
      <c r="Y63" t="s">
        <v>33</v>
      </c>
      <c r="Z63">
        <v>32.340000000000003</v>
      </c>
      <c r="AA63">
        <v>33.630000000000003</v>
      </c>
      <c r="AC63" s="262"/>
      <c r="AD63" s="501"/>
      <c r="AE63" s="501"/>
      <c r="AF63" s="262"/>
    </row>
    <row r="64" spans="2:37" ht="11.4" customHeight="1">
      <c r="B64" s="27" t="str">
        <f t="shared" si="20"/>
        <v>TraditionalCommunity Pathways WaiverDay Habilitation</v>
      </c>
      <c r="C64" s="27" t="s">
        <v>137</v>
      </c>
      <c r="D64" s="27" t="s">
        <v>298</v>
      </c>
      <c r="E64" s="27" t="s">
        <v>33</v>
      </c>
      <c r="F64" s="27" t="s">
        <v>214</v>
      </c>
      <c r="G64" s="18" t="s">
        <v>321</v>
      </c>
      <c r="H64" s="27" t="s">
        <v>134</v>
      </c>
      <c r="I64" s="92" t="str">
        <f>IF(ISERROR((VLOOKUP(CONCATENATE(Budget!$AQ$13,Budget!$K$8,Budget!$J$8),Budget!$CF$4:$CN$310,9)+Budget!$AP$18)),"",(VLOOKUP(CONCATENATE(Budget!$AQ$13,Budget!$K$8,Budget!$J$8),Budget!$CF$4:$CN$310,9)+Budget!$AP$18))</f>
        <v/>
      </c>
      <c r="J64" s="65" t="str">
        <f t="shared" ref="J64:J100" si="26">IF(I64&lt;&gt;"",$J$5,"")</f>
        <v/>
      </c>
      <c r="K64" s="92" t="str">
        <f>IF(ISERROR(VLOOKUP(CONCATENATE(Budget!$AQ$13,Budget!$K$6,Budget!$J$6),Budget!$CP$4:$CX$310,9)+Budget!$AP$18*(1+$J$5)),"",VLOOKUP(CONCATENATE(Budget!$AQ$13,Budget!$K$6,Budget!$J$6),Budget!$CP$4:$CX$310,9)+Budget!$AP$18*(1+$J$5))</f>
        <v/>
      </c>
      <c r="L64" s="65" t="str">
        <f t="shared" ref="L64:L100" si="27">IF(K64&lt;&gt;"",$L$5,"")</f>
        <v/>
      </c>
      <c r="M64" s="92" t="str">
        <f>IF(ISERROR(VLOOKUP(CONCATENATE(Budget!$AQ$13,Budget!$K$6,Budget!$J$6),Budget!$CP$4:$CX$310,9)+Budget!$AP$18*(1+$J$5)),"",VLOOKUP(CONCATENATE(Budget!$AQ$13,Budget!$K$6,Budget!$J$6),Budget!$CP$4:$CX$310,9)+Budget!$AP$18*(1+$J$5))</f>
        <v/>
      </c>
      <c r="N64" s="65" t="str">
        <f t="shared" ref="N64:N75" si="28">IF(M64&lt;&gt;"",$N$5,"")</f>
        <v/>
      </c>
      <c r="O64" s="92" t="str">
        <f>IF(ISERROR(VLOOKUP(CONCATENATE(Budget!$AQ$13,Budget!$K$6,Budget!$J$6),Budget!$CP$4:$CX$310,9)+Budget!$AP$18*(1+$J$5)),"",VLOOKUP(CONCATENATE(Budget!$AQ$13,Budget!$K$6,Budget!$J$6),Budget!$CP$4:$CX$310,9)+Budget!$AP$18*(1+$J$5))</f>
        <v/>
      </c>
      <c r="P64" s="388" t="str">
        <f t="shared" si="4"/>
        <v/>
      </c>
      <c r="Q64" s="388" t="str">
        <f t="shared" si="5"/>
        <v/>
      </c>
      <c r="R64" s="388"/>
      <c r="S64" s="39"/>
      <c r="T64" s="262" t="str">
        <f t="shared" si="12"/>
        <v/>
      </c>
      <c r="V64" t="s">
        <v>113</v>
      </c>
      <c r="W64" t="s">
        <v>671</v>
      </c>
      <c r="X64" t="s">
        <v>627</v>
      </c>
      <c r="Y64" t="s">
        <v>127</v>
      </c>
      <c r="Z64">
        <v>32.340000000000003</v>
      </c>
      <c r="AA64">
        <v>33.630000000000003</v>
      </c>
      <c r="AC64" s="262"/>
      <c r="AD64" s="501"/>
      <c r="AE64" s="501"/>
      <c r="AF64" s="262"/>
    </row>
    <row r="65" spans="2:33" ht="11.4" customHeight="1">
      <c r="B65" s="18" t="str">
        <f t="shared" si="20"/>
        <v>TraditionalCommunity Supports WaiverDay Habilitation</v>
      </c>
      <c r="C65" s="18" t="s">
        <v>137</v>
      </c>
      <c r="D65" s="18" t="s">
        <v>200</v>
      </c>
      <c r="E65" s="18" t="s">
        <v>33</v>
      </c>
      <c r="F65" s="18" t="s">
        <v>214</v>
      </c>
      <c r="G65" s="18" t="s">
        <v>38</v>
      </c>
      <c r="H65" s="18" t="s">
        <v>134</v>
      </c>
      <c r="I65" s="92" t="str">
        <f>IF(ISERROR(VLOOKUP(CONCATENATE(Budget!$AQ$13,Budget!$K$6,Budget!$J$6),Budget!$CF$4:$CN$310,9)+Budget!$AP$18),"",VLOOKUP(CONCATENATE(Budget!$AQ$13,Budget!$K$6,Budget!$J$6),Budget!$CF$4:$CN$310,9)+Budget!$AP$18)</f>
        <v/>
      </c>
      <c r="J65" s="96" t="str">
        <f t="shared" si="26"/>
        <v/>
      </c>
      <c r="K65" s="92" t="str">
        <f>IF(ISERROR((VLOOKUP(CONCATENATE(Budget!$AQ$13,Budget!$K$8,Budget!$J$8),Budget!$CP$4:$CX$310,9)+(Budget!$AP$18*(1+$J$5)))),"",(VLOOKUP(CONCATENATE(Budget!$AQ$13,Budget!$K$8,Budget!$J$8),Budget!$CP$4:$CX$310,9)+(Budget!$AP$18*(1+$J$5))))</f>
        <v/>
      </c>
      <c r="L65" s="96" t="str">
        <f t="shared" si="27"/>
        <v/>
      </c>
      <c r="M65" s="92" t="str">
        <f>IF(ISERROR((VLOOKUP(CONCATENATE(Budget!$AQ$13,Budget!$K$8,Budget!$J$8),Budget!$CP$4:$CX$310,9)+(Budget!$AP$18*(1+$J$5)))),"",(VLOOKUP(CONCATENATE(Budget!$AQ$13,Budget!$K$8,Budget!$J$8),Budget!$CP$4:$CX$310,9)+(Budget!$AP$18*(1+$J$5))))</f>
        <v/>
      </c>
      <c r="N65" s="96" t="str">
        <f t="shared" si="28"/>
        <v/>
      </c>
      <c r="O65" s="92" t="str">
        <f>IF(ISERROR((VLOOKUP(CONCATENATE(Budget!$AQ$13,Budget!$K$8,Budget!$J$8),Budget!$CP$4:$CX$310,9)+(Budget!$AP$18*(1+$J$5)))),"",(VLOOKUP(CONCATENATE(Budget!$AQ$13,Budget!$K$8,Budget!$J$8),Budget!$CP$4:$CX$310,9)+(Budget!$AP$18*(1+$J$5))))</f>
        <v/>
      </c>
      <c r="P65" s="388" t="str">
        <f t="shared" si="4"/>
        <v/>
      </c>
      <c r="Q65" s="388" t="str">
        <f t="shared" si="5"/>
        <v/>
      </c>
      <c r="R65" s="388"/>
      <c r="S65" s="37" t="s">
        <v>212</v>
      </c>
      <c r="T65" s="262" t="str">
        <f t="shared" si="12"/>
        <v/>
      </c>
      <c r="V65" t="s">
        <v>114</v>
      </c>
      <c r="W65" t="s">
        <v>671</v>
      </c>
      <c r="X65" t="s">
        <v>630</v>
      </c>
      <c r="Y65" t="s">
        <v>33</v>
      </c>
      <c r="Z65">
        <v>32.340000000000003</v>
      </c>
      <c r="AA65">
        <v>33.630000000000003</v>
      </c>
      <c r="AC65" s="262"/>
      <c r="AD65" s="501"/>
      <c r="AE65" s="501"/>
      <c r="AF65" s="262"/>
    </row>
    <row r="66" spans="2:33" ht="11.4" customHeight="1">
      <c r="B66" s="27" t="str">
        <f t="shared" si="20"/>
        <v>Self-DirectionCommunity Pathways WaiverEmployment Discovery and Customization</v>
      </c>
      <c r="C66" s="27" t="s">
        <v>153</v>
      </c>
      <c r="D66" s="27" t="s">
        <v>298</v>
      </c>
      <c r="E66" s="27" t="s">
        <v>127</v>
      </c>
      <c r="F66" s="27" t="s">
        <v>377</v>
      </c>
      <c r="G66" s="27" t="s">
        <v>323</v>
      </c>
      <c r="H66" s="27" t="s">
        <v>134</v>
      </c>
      <c r="I66" s="92" t="str">
        <f>IF(ISERROR((VLOOKUP(CONCATENATE(Budget!$AQ$13,Budget!$K$8,Budget!$J$8),Budget!$CF$4:$CN$310,9)+Budget!$AP$18)),"",(VLOOKUP(CONCATENATE(Budget!$AQ$13,Budget!$K$8,Budget!$J$8),Budget!$CF$4:$CN$310,9)+Budget!$AP$18))</f>
        <v/>
      </c>
      <c r="J66" s="65" t="str">
        <f t="shared" si="26"/>
        <v/>
      </c>
      <c r="K66" s="92" t="str">
        <f>IF(ISERROR(VLOOKUP(CONCATENATE(Budget!$AQ$13,Budget!$K$6,Budget!$J$6),Budget!$CP$4:$CX$310,9)+Budget!$AP$18*(1+$J$5)),"",VLOOKUP(CONCATENATE(Budget!$AQ$13,Budget!$K$6,Budget!$J$6),Budget!$CP$4:$CX$310,9)+Budget!$AP$18*(1+$J$5))</f>
        <v/>
      </c>
      <c r="L66" s="65" t="str">
        <f t="shared" si="27"/>
        <v/>
      </c>
      <c r="M66" s="92" t="str">
        <f>IF(ISERROR(VLOOKUP(CONCATENATE(Budget!$AQ$13,Budget!$K$6,Budget!$J$6),Budget!$CP$4:$CX$310,9)+Budget!$AP$18*(1+$J$5)),"",VLOOKUP(CONCATENATE(Budget!$AQ$13,Budget!$K$6,Budget!$J$6),Budget!$CP$4:$CX$310,9)+Budget!$AP$18*(1+$J$5))</f>
        <v/>
      </c>
      <c r="N66" s="65" t="str">
        <f t="shared" si="28"/>
        <v/>
      </c>
      <c r="O66" s="92" t="str">
        <f>IF(ISERROR(VLOOKUP(CONCATENATE(Budget!$AQ$13,Budget!$K$6,Budget!$J$6),Budget!$CP$4:$CX$310,9)+Budget!$AP$18*(1+$J$5)),"",VLOOKUP(CONCATENATE(Budget!$AQ$13,Budget!$K$6,Budget!$J$6),Budget!$CP$4:$CX$310,9)+Budget!$AP$18*(1+$J$5))</f>
        <v/>
      </c>
      <c r="P66" s="388" t="str">
        <f t="shared" si="4"/>
        <v/>
      </c>
      <c r="Q66" s="388" t="str">
        <f t="shared" si="5"/>
        <v/>
      </c>
      <c r="R66" s="388"/>
      <c r="S66" s="39"/>
      <c r="T66" s="262" t="str">
        <f t="shared" si="12"/>
        <v/>
      </c>
      <c r="V66" t="s">
        <v>115</v>
      </c>
      <c r="W66" t="s">
        <v>671</v>
      </c>
      <c r="X66" t="s">
        <v>630</v>
      </c>
      <c r="Y66" t="s">
        <v>127</v>
      </c>
      <c r="Z66">
        <v>32.340000000000003</v>
      </c>
      <c r="AA66">
        <v>33.630000000000003</v>
      </c>
      <c r="AC66" s="262"/>
      <c r="AD66" s="501"/>
      <c r="AE66" s="501"/>
      <c r="AF66" s="262"/>
    </row>
    <row r="67" spans="2:33" ht="11.4" customHeight="1">
      <c r="B67" s="18" t="str">
        <f t="shared" si="20"/>
        <v>Self-DirectionCommunity Supports WaiverEmployment Discovery and Customization</v>
      </c>
      <c r="C67" s="18" t="s">
        <v>153</v>
      </c>
      <c r="D67" s="18" t="s">
        <v>200</v>
      </c>
      <c r="E67" s="18" t="s">
        <v>127</v>
      </c>
      <c r="F67" s="18" t="s">
        <v>377</v>
      </c>
      <c r="G67" s="18" t="s">
        <v>40</v>
      </c>
      <c r="H67" s="18" t="s">
        <v>134</v>
      </c>
      <c r="I67" s="92" t="str">
        <f>IF(ISERROR((VLOOKUP(CONCATENATE(Budget!$AQ$13,Budget!$K$8,Budget!$J$8),Budget!$CF$4:$CN$310,9)+Budget!$AP$18)),"",(VLOOKUP(CONCATENATE(Budget!$AQ$13,Budget!$K$8,Budget!$J$8),Budget!$CF$4:$CN$310,9)+Budget!$AP$18))</f>
        <v/>
      </c>
      <c r="J67" s="96" t="str">
        <f t="shared" si="26"/>
        <v/>
      </c>
      <c r="K67" s="92" t="str">
        <f>IF(ISERROR((VLOOKUP(CONCATENATE(Budget!$AQ$13,Budget!$K$8,Budget!$J$8),Budget!$CP$4:$CX$310,9)+(Budget!$AP$18*(1+$J$5)))),"",(VLOOKUP(CONCATENATE(Budget!$AQ$13,Budget!$K$8,Budget!$J$8),Budget!$CP$4:$CX$310,9)+(Budget!$AP$18*(1+$J$5))))</f>
        <v/>
      </c>
      <c r="L67" s="96" t="str">
        <f t="shared" si="27"/>
        <v/>
      </c>
      <c r="M67" s="92" t="str">
        <f>IF(ISERROR((VLOOKUP(CONCATENATE(Budget!$AQ$13,Budget!$K$8,Budget!$J$8),Budget!$CP$4:$CX$310,9)+(Budget!$AP$18*(1+$J$5)))),"",(VLOOKUP(CONCATENATE(Budget!$AQ$13,Budget!$K$8,Budget!$J$8),Budget!$CP$4:$CX$310,9)+(Budget!$AP$18*(1+$J$5))))</f>
        <v/>
      </c>
      <c r="N67" s="96" t="str">
        <f t="shared" si="28"/>
        <v/>
      </c>
      <c r="O67" s="92" t="str">
        <f>IF(ISERROR((VLOOKUP(CONCATENATE(Budget!$AQ$13,Budget!$K$8,Budget!$J$8),Budget!$CP$4:$CX$310,9)+(Budget!$AP$18*(1+$J$5)))),"",(VLOOKUP(CONCATENATE(Budget!$AQ$13,Budget!$K$8,Budget!$J$8),Budget!$CP$4:$CX$310,9)+(Budget!$AP$18*(1+$J$5))))</f>
        <v/>
      </c>
      <c r="P67" s="388">
        <f t="shared" si="4"/>
        <v>1089</v>
      </c>
      <c r="Q67" s="388">
        <f t="shared" si="5"/>
        <v>1133</v>
      </c>
      <c r="R67" s="388"/>
      <c r="S67" s="37" t="s">
        <v>212</v>
      </c>
      <c r="T67" s="262">
        <f t="shared" si="12"/>
        <v>4.0404040404040442E-2</v>
      </c>
      <c r="V67" t="s">
        <v>347</v>
      </c>
      <c r="W67" t="s">
        <v>647</v>
      </c>
      <c r="X67" t="s">
        <v>623</v>
      </c>
      <c r="Y67" t="s">
        <v>33</v>
      </c>
      <c r="Z67">
        <v>1200</v>
      </c>
      <c r="AA67">
        <v>1200</v>
      </c>
      <c r="AC67" s="262"/>
      <c r="AD67" s="501">
        <v>32.340000000000003</v>
      </c>
      <c r="AE67" s="501">
        <v>32.340000000000003</v>
      </c>
      <c r="AF67" s="502" t="s">
        <v>687</v>
      </c>
      <c r="AG67" s="503" t="s">
        <v>688</v>
      </c>
    </row>
    <row r="68" spans="2:33" ht="11.4" customHeight="1">
      <c r="B68" s="18" t="str">
        <f t="shared" si="20"/>
        <v>TraditionalCommunity Pathways WaiverEmployment Discovery and Customization</v>
      </c>
      <c r="C68" s="18" t="s">
        <v>153</v>
      </c>
      <c r="D68" s="18" t="s">
        <v>298</v>
      </c>
      <c r="E68" s="18" t="s">
        <v>33</v>
      </c>
      <c r="F68" s="18" t="s">
        <v>377</v>
      </c>
      <c r="G68" s="18" t="s">
        <v>322</v>
      </c>
      <c r="H68" s="18" t="s">
        <v>134</v>
      </c>
      <c r="I68" s="92" t="str">
        <f>IF(ISERROR((VLOOKUP(CONCATENATE(Budget!$AQ$13,Budget!$K$8,Budget!$J$8),Budget!$CF$4:$CN$310,9)+Budget!$AP$18)),"",(VLOOKUP(CONCATENATE(Budget!$AQ$13,Budget!$K$8,Budget!$J$8),Budget!$CF$4:$CN$310,9)+Budget!$AP$18))</f>
        <v/>
      </c>
      <c r="J68" s="96" t="str">
        <f t="shared" si="26"/>
        <v/>
      </c>
      <c r="K68" s="92" t="str">
        <f>IF(ISERROR(VLOOKUP(CONCATENATE(Budget!$AQ$13,Budget!$K$6,Budget!$J$6),Budget!$CP$4:$CX$310,9)+Budget!$AP$18*(1+$J$5)),"",VLOOKUP(CONCATENATE(Budget!$AQ$13,Budget!$K$6,Budget!$J$6),Budget!$CP$4:$CX$310,9)+Budget!$AP$18*(1+$J$5))</f>
        <v/>
      </c>
      <c r="L68" s="96" t="str">
        <f t="shared" si="27"/>
        <v/>
      </c>
      <c r="M68" s="92" t="str">
        <f>IF(ISERROR(VLOOKUP(CONCATENATE(Budget!$AQ$13,Budget!$K$6,Budget!$J$6),Budget!$CP$4:$CX$310,9)+Budget!$AP$18*(1+$J$5)),"",VLOOKUP(CONCATENATE(Budget!$AQ$13,Budget!$K$6,Budget!$J$6),Budget!$CP$4:$CX$310,9)+Budget!$AP$18*(1+$J$5))</f>
        <v/>
      </c>
      <c r="N68" s="96" t="str">
        <f t="shared" si="28"/>
        <v/>
      </c>
      <c r="O68" s="92" t="str">
        <f>IF(ISERROR(VLOOKUP(CONCATENATE(Budget!$AQ$13,Budget!$K$6,Budget!$J$6),Budget!$CP$4:$CX$310,9)+Budget!$AP$18*(1+$J$5)),"",VLOOKUP(CONCATENATE(Budget!$AQ$13,Budget!$K$6,Budget!$J$6),Budget!$CP$4:$CX$310,9)+Budget!$AP$18*(1+$J$5))</f>
        <v/>
      </c>
      <c r="P68" s="388" t="str">
        <f t="shared" si="4"/>
        <v/>
      </c>
      <c r="Q68" s="388" t="str">
        <f t="shared" si="5"/>
        <v/>
      </c>
      <c r="R68" s="388"/>
      <c r="S68" s="37"/>
      <c r="T68" s="262" t="str">
        <f t="shared" si="12"/>
        <v/>
      </c>
      <c r="V68" t="s">
        <v>37</v>
      </c>
      <c r="W68" t="s">
        <v>787</v>
      </c>
      <c r="X68" t="s">
        <v>627</v>
      </c>
      <c r="Y68" t="s">
        <v>127</v>
      </c>
      <c r="Z68">
        <v>1089</v>
      </c>
      <c r="AA68">
        <v>1133</v>
      </c>
    </row>
    <row r="69" spans="2:33" ht="11.4" customHeight="1">
      <c r="B69" s="27" t="str">
        <f t="shared" si="20"/>
        <v>TraditionalCommunity Supports WaiverEmployment Discovery and Customization</v>
      </c>
      <c r="C69" s="27" t="s">
        <v>153</v>
      </c>
      <c r="D69" s="27" t="s">
        <v>200</v>
      </c>
      <c r="E69" s="27" t="s">
        <v>33</v>
      </c>
      <c r="F69" s="27" t="s">
        <v>377</v>
      </c>
      <c r="G69" s="27" t="s">
        <v>39</v>
      </c>
      <c r="H69" s="27" t="s">
        <v>134</v>
      </c>
      <c r="I69" s="92" t="str">
        <f>IF(ISERROR(VLOOKUP(CONCATENATE(Budget!$AQ$13,Budget!$K$6,Budget!$J$6),Budget!$CF$4:$CN$310,9)+Budget!$AP$18),"",VLOOKUP(CONCATENATE(Budget!$AQ$13,Budget!$K$6,Budget!$J$6),Budget!$CF$4:$CN$310,9)+Budget!$AP$18)</f>
        <v/>
      </c>
      <c r="J69" s="65" t="str">
        <f t="shared" si="26"/>
        <v/>
      </c>
      <c r="K69" s="92" t="str">
        <f>IF(ISERROR((VLOOKUP(CONCATENATE(Budget!$AQ$13,Budget!$K$8,Budget!$J$8),Budget!$CP$4:$CX$310,9)+(Budget!$AP$18*(1+$J$5)))),"",(VLOOKUP(CONCATENATE(Budget!$AQ$13,Budget!$K$8,Budget!$J$8),Budget!$CP$4:$CX$310,9)+(Budget!$AP$18*(1+$J$5))))</f>
        <v/>
      </c>
      <c r="L69" s="65" t="str">
        <f t="shared" si="27"/>
        <v/>
      </c>
      <c r="M69" s="92" t="str">
        <f>IF(ISERROR((VLOOKUP(CONCATENATE(Budget!$AQ$13,Budget!$K$8,Budget!$J$8),Budget!$CP$4:$CX$310,9)+(Budget!$AP$18*(1+$J$5)))),"",(VLOOKUP(CONCATENATE(Budget!$AQ$13,Budget!$K$8,Budget!$J$8),Budget!$CP$4:$CX$310,9)+(Budget!$AP$18*(1+$J$5))))</f>
        <v/>
      </c>
      <c r="N69" s="65" t="str">
        <f t="shared" si="28"/>
        <v/>
      </c>
      <c r="O69" s="92" t="str">
        <f>IF(ISERROR((VLOOKUP(CONCATENATE(Budget!$AQ$13,Budget!$K$8,Budget!$J$8),Budget!$CP$4:$CX$310,9)+(Budget!$AP$18*(1+$J$5)))),"",(VLOOKUP(CONCATENATE(Budget!$AQ$13,Budget!$K$8,Budget!$J$8),Budget!$CP$4:$CX$310,9)+(Budget!$AP$18*(1+$J$5))))</f>
        <v/>
      </c>
      <c r="P69" s="388" t="str">
        <f t="shared" si="4"/>
        <v/>
      </c>
      <c r="Q69" s="388" t="str">
        <f t="shared" si="5"/>
        <v/>
      </c>
      <c r="R69" s="388"/>
      <c r="S69" s="39" t="s">
        <v>212</v>
      </c>
      <c r="T69" s="262" t="str">
        <f t="shared" si="12"/>
        <v/>
      </c>
      <c r="V69" t="s">
        <v>40</v>
      </c>
      <c r="W69" t="s">
        <v>789</v>
      </c>
      <c r="X69" t="s">
        <v>627</v>
      </c>
      <c r="Y69" t="s">
        <v>127</v>
      </c>
      <c r="Z69">
        <v>1089</v>
      </c>
      <c r="AA69">
        <v>1133</v>
      </c>
    </row>
    <row r="70" spans="2:33" ht="11.4" customHeight="1">
      <c r="B70" s="27" t="str">
        <f t="shared" si="20"/>
        <v>Self-DirectionCommunity Pathways WaiverEnvironmental Assessment</v>
      </c>
      <c r="C70" s="27" t="s">
        <v>66</v>
      </c>
      <c r="D70" s="27" t="s">
        <v>298</v>
      </c>
      <c r="E70" s="27" t="s">
        <v>127</v>
      </c>
      <c r="F70" s="27" t="s">
        <v>154</v>
      </c>
      <c r="G70" s="27" t="s">
        <v>325</v>
      </c>
      <c r="H70" s="27" t="s">
        <v>132</v>
      </c>
      <c r="I70" s="38">
        <v>419.7</v>
      </c>
      <c r="J70" s="65">
        <f t="shared" si="26"/>
        <v>3.5000000000000003E-2</v>
      </c>
      <c r="K70" s="38">
        <f t="shared" ref="K70:K75" si="29">ROUND(IF(I70&lt;&gt;"",I70*(1+J70),I70),2)</f>
        <v>434.39</v>
      </c>
      <c r="L70" s="65">
        <f t="shared" si="27"/>
        <v>3.5000000000000003E-2</v>
      </c>
      <c r="M70" s="388">
        <f t="shared" ref="M70:M75" si="30">ROUND(IF(K70&lt;&gt;"",K70*(1+L70),K70),2)</f>
        <v>449.59</v>
      </c>
      <c r="N70" s="65">
        <f t="shared" si="28"/>
        <v>0.04</v>
      </c>
      <c r="O70" s="449">
        <v>439.34</v>
      </c>
      <c r="P70" s="388" t="str">
        <f t="shared" si="4"/>
        <v/>
      </c>
      <c r="Q70" s="388" t="str">
        <f t="shared" si="5"/>
        <v/>
      </c>
      <c r="R70" s="388"/>
      <c r="S70" s="389"/>
      <c r="T70" s="262" t="str">
        <f t="shared" si="12"/>
        <v/>
      </c>
      <c r="V70" t="s">
        <v>354</v>
      </c>
      <c r="W70" t="s">
        <v>671</v>
      </c>
      <c r="X70" t="s">
        <v>623</v>
      </c>
      <c r="Y70" t="s">
        <v>127</v>
      </c>
      <c r="Z70">
        <v>32.340000000000003</v>
      </c>
      <c r="AA70">
        <v>33.630000000000003</v>
      </c>
    </row>
    <row r="71" spans="2:33" ht="11.4" customHeight="1">
      <c r="B71" s="27" t="str">
        <f t="shared" si="20"/>
        <v>Self-DirectionCommunity Supports WaiverEnvironmental Assessment</v>
      </c>
      <c r="C71" s="27" t="s">
        <v>66</v>
      </c>
      <c r="D71" s="27" t="s">
        <v>200</v>
      </c>
      <c r="E71" s="27" t="s">
        <v>127</v>
      </c>
      <c r="F71" s="27" t="s">
        <v>154</v>
      </c>
      <c r="G71" s="27" t="s">
        <v>68</v>
      </c>
      <c r="H71" s="27" t="s">
        <v>132</v>
      </c>
      <c r="I71" s="38">
        <v>419.7</v>
      </c>
      <c r="J71" s="65">
        <f t="shared" si="26"/>
        <v>3.5000000000000003E-2</v>
      </c>
      <c r="K71" s="38">
        <f t="shared" si="29"/>
        <v>434.39</v>
      </c>
      <c r="L71" s="65">
        <f t="shared" si="27"/>
        <v>3.5000000000000003E-2</v>
      </c>
      <c r="M71" s="388">
        <f t="shared" si="30"/>
        <v>449.59</v>
      </c>
      <c r="N71" s="65">
        <f t="shared" si="28"/>
        <v>0.04</v>
      </c>
      <c r="O71" s="449">
        <v>439.34</v>
      </c>
      <c r="P71" s="388">
        <f t="shared" si="4"/>
        <v>474.49</v>
      </c>
      <c r="Q71" s="388">
        <f t="shared" si="5"/>
        <v>493.47</v>
      </c>
      <c r="R71" s="388">
        <f t="shared" ref="R71:R75" si="31">+Q71*(1+$R$4)</f>
        <v>513.2088</v>
      </c>
      <c r="S71" s="389" t="s">
        <v>212</v>
      </c>
      <c r="T71" s="262">
        <f t="shared" si="12"/>
        <v>4.0000843010390197E-2</v>
      </c>
      <c r="V71" t="s">
        <v>42</v>
      </c>
      <c r="W71" t="s">
        <v>789</v>
      </c>
      <c r="X71" t="s">
        <v>627</v>
      </c>
      <c r="Y71" t="s">
        <v>127</v>
      </c>
      <c r="Z71">
        <v>1089</v>
      </c>
      <c r="AA71">
        <v>1133</v>
      </c>
    </row>
    <row r="72" spans="2:33" ht="11.4" customHeight="1">
      <c r="B72" s="18" t="str">
        <f t="shared" si="20"/>
        <v>Self-DirectionFamily Supports WaiverEnvironmental Assessment</v>
      </c>
      <c r="C72" s="18" t="s">
        <v>66</v>
      </c>
      <c r="D72" s="18" t="s">
        <v>199</v>
      </c>
      <c r="E72" s="18" t="s">
        <v>127</v>
      </c>
      <c r="F72" s="18" t="s">
        <v>154</v>
      </c>
      <c r="G72" s="18" t="s">
        <v>70</v>
      </c>
      <c r="H72" s="18" t="s">
        <v>132</v>
      </c>
      <c r="I72" s="36">
        <v>419.7</v>
      </c>
      <c r="J72" s="96">
        <f t="shared" si="26"/>
        <v>3.5000000000000003E-2</v>
      </c>
      <c r="K72" s="36">
        <f t="shared" si="29"/>
        <v>434.39</v>
      </c>
      <c r="L72" s="96">
        <f t="shared" si="27"/>
        <v>3.5000000000000003E-2</v>
      </c>
      <c r="M72" s="388">
        <f t="shared" si="30"/>
        <v>449.59</v>
      </c>
      <c r="N72" s="96">
        <f t="shared" si="28"/>
        <v>0.04</v>
      </c>
      <c r="O72" s="449">
        <v>439.34</v>
      </c>
      <c r="P72" s="388">
        <f t="shared" si="4"/>
        <v>474.49</v>
      </c>
      <c r="Q72" s="388">
        <f t="shared" si="5"/>
        <v>493.47</v>
      </c>
      <c r="R72" s="388">
        <f t="shared" si="31"/>
        <v>513.2088</v>
      </c>
      <c r="S72" s="389" t="s">
        <v>212</v>
      </c>
      <c r="T72" s="262">
        <f t="shared" si="12"/>
        <v>4.0000843010390197E-2</v>
      </c>
      <c r="V72" t="s">
        <v>816</v>
      </c>
      <c r="W72" t="s">
        <v>816</v>
      </c>
      <c r="X72" t="s">
        <v>816</v>
      </c>
      <c r="Y72" t="s">
        <v>816</v>
      </c>
    </row>
    <row r="73" spans="2:33" ht="11.4" customHeight="1">
      <c r="B73" s="18" t="str">
        <f t="shared" ref="B73:B104" si="32">CONCATENATE(E73,D73,C73)</f>
        <v>TraditionalCommunity Pathways WaiverEnvironmental Assessment</v>
      </c>
      <c r="C73" s="18" t="s">
        <v>66</v>
      </c>
      <c r="D73" s="18" t="s">
        <v>298</v>
      </c>
      <c r="E73" s="18" t="s">
        <v>33</v>
      </c>
      <c r="F73" s="18" t="s">
        <v>154</v>
      </c>
      <c r="G73" s="18" t="s">
        <v>324</v>
      </c>
      <c r="H73" s="18" t="s">
        <v>132</v>
      </c>
      <c r="I73" s="36">
        <v>419.7</v>
      </c>
      <c r="J73" s="96">
        <f t="shared" si="26"/>
        <v>3.5000000000000003E-2</v>
      </c>
      <c r="K73" s="36">
        <f t="shared" si="29"/>
        <v>434.39</v>
      </c>
      <c r="L73" s="96">
        <f t="shared" si="27"/>
        <v>3.5000000000000003E-2</v>
      </c>
      <c r="M73" s="388">
        <f t="shared" si="30"/>
        <v>449.59</v>
      </c>
      <c r="N73" s="96">
        <f t="shared" si="28"/>
        <v>0.04</v>
      </c>
      <c r="O73" s="449">
        <v>439.34</v>
      </c>
      <c r="P73" s="388">
        <f t="shared" si="4"/>
        <v>474.49</v>
      </c>
      <c r="Q73" s="388">
        <f t="shared" si="5"/>
        <v>493.47</v>
      </c>
      <c r="R73" s="388">
        <f t="shared" si="31"/>
        <v>513.2088</v>
      </c>
      <c r="S73" s="389"/>
      <c r="T73" s="262">
        <f t="shared" si="12"/>
        <v>4.0000843010390197E-2</v>
      </c>
    </row>
    <row r="74" spans="2:33" ht="11.4" customHeight="1">
      <c r="B74" s="18" t="str">
        <f t="shared" si="32"/>
        <v>TraditionalCommunity Supports WaiverEnvironmental Assessment</v>
      </c>
      <c r="C74" s="18" t="s">
        <v>66</v>
      </c>
      <c r="D74" s="18" t="s">
        <v>200</v>
      </c>
      <c r="E74" s="18" t="s">
        <v>33</v>
      </c>
      <c r="F74" s="18" t="s">
        <v>154</v>
      </c>
      <c r="G74" s="18" t="s">
        <v>67</v>
      </c>
      <c r="H74" s="18" t="s">
        <v>132</v>
      </c>
      <c r="I74" s="36">
        <v>419.7</v>
      </c>
      <c r="J74" s="96">
        <f t="shared" si="26"/>
        <v>3.5000000000000003E-2</v>
      </c>
      <c r="K74" s="36">
        <f t="shared" si="29"/>
        <v>434.39</v>
      </c>
      <c r="L74" s="96">
        <f t="shared" si="27"/>
        <v>3.5000000000000003E-2</v>
      </c>
      <c r="M74" s="388">
        <f t="shared" si="30"/>
        <v>449.59</v>
      </c>
      <c r="N74" s="96">
        <f t="shared" si="28"/>
        <v>0.04</v>
      </c>
      <c r="O74" s="449">
        <v>439.34</v>
      </c>
      <c r="P74" s="388">
        <f t="shared" ref="P74:P137" si="33">_xlfn.IFNA(VLOOKUP($G74,$V$12:$AA$100,5,FALSE),"")</f>
        <v>474.49</v>
      </c>
      <c r="Q74" s="388">
        <f t="shared" ref="Q74:Q137" si="34">_xlfn.IFNA(VLOOKUP($G74,$V$12:$AA$100,6,FALSE),"")</f>
        <v>493.47</v>
      </c>
      <c r="R74" s="388">
        <f t="shared" si="31"/>
        <v>513.2088</v>
      </c>
      <c r="S74" s="389" t="s">
        <v>212</v>
      </c>
      <c r="T74" s="262">
        <f t="shared" si="12"/>
        <v>4.0000843010390197E-2</v>
      </c>
    </row>
    <row r="75" spans="2:33" ht="11.4" customHeight="1">
      <c r="B75" s="27" t="str">
        <f t="shared" si="32"/>
        <v>TraditionalFamily Supports WaiverEnvironmental Assessment</v>
      </c>
      <c r="C75" s="27" t="s">
        <v>66</v>
      </c>
      <c r="D75" s="27" t="s">
        <v>199</v>
      </c>
      <c r="E75" s="27" t="s">
        <v>33</v>
      </c>
      <c r="F75" s="27" t="s">
        <v>154</v>
      </c>
      <c r="G75" s="27" t="s">
        <v>69</v>
      </c>
      <c r="H75" s="27" t="s">
        <v>132</v>
      </c>
      <c r="I75" s="38">
        <v>419.7</v>
      </c>
      <c r="J75" s="65">
        <f t="shared" si="26"/>
        <v>3.5000000000000003E-2</v>
      </c>
      <c r="K75" s="38">
        <f t="shared" si="29"/>
        <v>434.39</v>
      </c>
      <c r="L75" s="65">
        <f t="shared" si="27"/>
        <v>3.5000000000000003E-2</v>
      </c>
      <c r="M75" s="388">
        <f t="shared" si="30"/>
        <v>449.59</v>
      </c>
      <c r="N75" s="65">
        <f t="shared" si="28"/>
        <v>0.04</v>
      </c>
      <c r="O75" s="449">
        <v>439.34</v>
      </c>
      <c r="P75" s="388">
        <f t="shared" si="33"/>
        <v>474.49</v>
      </c>
      <c r="Q75" s="388">
        <f t="shared" si="34"/>
        <v>493.47</v>
      </c>
      <c r="R75" s="388">
        <f t="shared" si="31"/>
        <v>513.2088</v>
      </c>
      <c r="S75" s="389" t="s">
        <v>212</v>
      </c>
      <c r="T75" s="262">
        <f t="shared" si="12"/>
        <v>4.0000843010390197E-2</v>
      </c>
    </row>
    <row r="76" spans="2:33" ht="11.4" customHeight="1">
      <c r="B76" s="27" t="str">
        <f t="shared" si="32"/>
        <v>Self-DirectionCommunity Pathways WaiverEnvironmental Modification</v>
      </c>
      <c r="C76" s="27" t="s">
        <v>71</v>
      </c>
      <c r="D76" s="27" t="s">
        <v>298</v>
      </c>
      <c r="E76" s="27" t="s">
        <v>127</v>
      </c>
      <c r="F76" s="27" t="s">
        <v>154</v>
      </c>
      <c r="G76" s="27" t="s">
        <v>327</v>
      </c>
      <c r="H76" s="27" t="s">
        <v>142</v>
      </c>
      <c r="I76" s="38" t="s">
        <v>212</v>
      </c>
      <c r="J76" s="65" t="str">
        <f t="shared" si="26"/>
        <v/>
      </c>
      <c r="K76" s="38" t="str">
        <f t="shared" ref="K76:K81" si="35">IF(I76&lt;&gt;"",I76*(1+J76),I76)</f>
        <v/>
      </c>
      <c r="L76" s="65" t="str">
        <f t="shared" si="27"/>
        <v/>
      </c>
      <c r="M76" s="388" t="str">
        <f t="shared" ref="M76:M81" si="36">IF(K76&lt;&gt;"",K76*(1+L76),K76)</f>
        <v/>
      </c>
      <c r="N76" s="65" t="str">
        <f t="shared" ref="N76:N81" si="37">IF(M76&lt;&gt;"",$L$5,"")</f>
        <v/>
      </c>
      <c r="O76" s="388" t="str">
        <f t="shared" ref="O76:O81" si="38">IF(M76&lt;&gt;"",M76*(1+N76),M76)</f>
        <v/>
      </c>
      <c r="P76" s="388" t="str">
        <f t="shared" si="33"/>
        <v/>
      </c>
      <c r="Q76" s="388" t="str">
        <f t="shared" si="34"/>
        <v/>
      </c>
      <c r="R76" s="388"/>
      <c r="S76" s="389">
        <v>15000</v>
      </c>
      <c r="T76" s="262" t="str">
        <f t="shared" si="12"/>
        <v/>
      </c>
    </row>
    <row r="77" spans="2:33" ht="11.4" customHeight="1">
      <c r="B77" s="18" t="str">
        <f t="shared" si="32"/>
        <v>Self-DirectionCommunity Supports WaiverEnvironmental Modification</v>
      </c>
      <c r="C77" s="18" t="s">
        <v>71</v>
      </c>
      <c r="D77" s="18" t="s">
        <v>200</v>
      </c>
      <c r="E77" s="18" t="s">
        <v>127</v>
      </c>
      <c r="F77" s="18" t="s">
        <v>154</v>
      </c>
      <c r="G77" s="18" t="s">
        <v>73</v>
      </c>
      <c r="H77" s="18" t="s">
        <v>142</v>
      </c>
      <c r="I77" s="36" t="s">
        <v>212</v>
      </c>
      <c r="J77" s="96" t="str">
        <f t="shared" si="26"/>
        <v/>
      </c>
      <c r="K77" s="36" t="str">
        <f t="shared" si="35"/>
        <v/>
      </c>
      <c r="L77" s="96" t="str">
        <f t="shared" si="27"/>
        <v/>
      </c>
      <c r="M77" s="388" t="str">
        <f t="shared" si="36"/>
        <v/>
      </c>
      <c r="N77" s="96" t="str">
        <f t="shared" si="37"/>
        <v/>
      </c>
      <c r="O77" s="388" t="str">
        <f t="shared" si="38"/>
        <v/>
      </c>
      <c r="P77" s="388" t="str">
        <f t="shared" si="33"/>
        <v/>
      </c>
      <c r="Q77" s="388" t="str">
        <f t="shared" si="34"/>
        <v/>
      </c>
      <c r="R77" s="388"/>
      <c r="S77" s="389">
        <v>15000</v>
      </c>
      <c r="T77" s="262" t="str">
        <f t="shared" si="12"/>
        <v/>
      </c>
    </row>
    <row r="78" spans="2:33" ht="11.4" customHeight="1">
      <c r="B78" s="27" t="str">
        <f t="shared" si="32"/>
        <v>Self-DirectionFamily Supports WaiverEnvironmental Modification</v>
      </c>
      <c r="C78" s="27" t="s">
        <v>71</v>
      </c>
      <c r="D78" s="27" t="s">
        <v>199</v>
      </c>
      <c r="E78" s="27" t="s">
        <v>127</v>
      </c>
      <c r="F78" s="27" t="s">
        <v>154</v>
      </c>
      <c r="G78" s="27" t="s">
        <v>75</v>
      </c>
      <c r="H78" s="27" t="s">
        <v>142</v>
      </c>
      <c r="I78" s="38" t="s">
        <v>212</v>
      </c>
      <c r="J78" s="65" t="str">
        <f t="shared" si="26"/>
        <v/>
      </c>
      <c r="K78" s="38" t="str">
        <f t="shared" si="35"/>
        <v/>
      </c>
      <c r="L78" s="65" t="str">
        <f t="shared" si="27"/>
        <v/>
      </c>
      <c r="M78" s="388" t="str">
        <f t="shared" si="36"/>
        <v/>
      </c>
      <c r="N78" s="65" t="str">
        <f t="shared" si="37"/>
        <v/>
      </c>
      <c r="O78" s="388" t="str">
        <f t="shared" si="38"/>
        <v/>
      </c>
      <c r="P78" s="388" t="str">
        <f t="shared" si="33"/>
        <v/>
      </c>
      <c r="Q78" s="388" t="str">
        <f t="shared" si="34"/>
        <v/>
      </c>
      <c r="R78" s="388"/>
      <c r="S78" s="389">
        <v>12000</v>
      </c>
      <c r="T78" s="262" t="str">
        <f t="shared" si="12"/>
        <v/>
      </c>
    </row>
    <row r="79" spans="2:33" ht="11.4" customHeight="1">
      <c r="B79" s="18" t="str">
        <f t="shared" si="32"/>
        <v>TraditionalCommunity Pathways WaiverEnvironmental Modification</v>
      </c>
      <c r="C79" s="18" t="s">
        <v>71</v>
      </c>
      <c r="D79" s="18" t="s">
        <v>298</v>
      </c>
      <c r="E79" s="18" t="s">
        <v>33</v>
      </c>
      <c r="F79" s="18" t="s">
        <v>154</v>
      </c>
      <c r="G79" s="18" t="s">
        <v>326</v>
      </c>
      <c r="H79" s="18" t="s">
        <v>142</v>
      </c>
      <c r="I79" s="36" t="s">
        <v>212</v>
      </c>
      <c r="J79" s="96" t="str">
        <f t="shared" si="26"/>
        <v/>
      </c>
      <c r="K79" s="36" t="str">
        <f t="shared" si="35"/>
        <v/>
      </c>
      <c r="L79" s="96" t="str">
        <f t="shared" si="27"/>
        <v/>
      </c>
      <c r="M79" s="388" t="str">
        <f t="shared" si="36"/>
        <v/>
      </c>
      <c r="N79" s="96" t="str">
        <f t="shared" si="37"/>
        <v/>
      </c>
      <c r="O79" s="388" t="str">
        <f t="shared" si="38"/>
        <v/>
      </c>
      <c r="P79" s="388" t="str">
        <f t="shared" si="33"/>
        <v/>
      </c>
      <c r="Q79" s="388" t="str">
        <f t="shared" si="34"/>
        <v/>
      </c>
      <c r="R79" s="388"/>
      <c r="S79" s="389">
        <v>15000</v>
      </c>
      <c r="T79" s="262" t="str">
        <f t="shared" si="12"/>
        <v/>
      </c>
    </row>
    <row r="80" spans="2:33" ht="11.4" customHeight="1">
      <c r="B80" s="27" t="str">
        <f t="shared" si="32"/>
        <v>TraditionalCommunity Supports WaiverEnvironmental Modification</v>
      </c>
      <c r="C80" s="27" t="s">
        <v>71</v>
      </c>
      <c r="D80" s="27" t="s">
        <v>200</v>
      </c>
      <c r="E80" s="27" t="s">
        <v>33</v>
      </c>
      <c r="F80" s="27" t="s">
        <v>154</v>
      </c>
      <c r="G80" s="27" t="s">
        <v>72</v>
      </c>
      <c r="H80" s="27" t="s">
        <v>142</v>
      </c>
      <c r="I80" s="38" t="s">
        <v>212</v>
      </c>
      <c r="J80" s="65" t="str">
        <f t="shared" si="26"/>
        <v/>
      </c>
      <c r="K80" s="38" t="str">
        <f t="shared" si="35"/>
        <v/>
      </c>
      <c r="L80" s="65" t="str">
        <f t="shared" si="27"/>
        <v/>
      </c>
      <c r="M80" s="388" t="str">
        <f t="shared" si="36"/>
        <v/>
      </c>
      <c r="N80" s="65" t="str">
        <f t="shared" si="37"/>
        <v/>
      </c>
      <c r="O80" s="388" t="str">
        <f t="shared" si="38"/>
        <v/>
      </c>
      <c r="P80" s="388" t="str">
        <f t="shared" si="33"/>
        <v/>
      </c>
      <c r="Q80" s="388" t="str">
        <f t="shared" si="34"/>
        <v/>
      </c>
      <c r="R80" s="388"/>
      <c r="S80" s="389">
        <v>15000</v>
      </c>
      <c r="T80" s="262" t="str">
        <f t="shared" si="12"/>
        <v/>
      </c>
    </row>
    <row r="81" spans="2:20" ht="11.4" customHeight="1">
      <c r="B81" s="18" t="str">
        <f t="shared" si="32"/>
        <v>TraditionalFamily Supports WaiverEnvironmental Modification</v>
      </c>
      <c r="C81" s="18" t="s">
        <v>71</v>
      </c>
      <c r="D81" s="18" t="s">
        <v>199</v>
      </c>
      <c r="E81" s="18" t="s">
        <v>33</v>
      </c>
      <c r="F81" s="18" t="s">
        <v>154</v>
      </c>
      <c r="G81" s="18" t="s">
        <v>74</v>
      </c>
      <c r="H81" s="18" t="s">
        <v>142</v>
      </c>
      <c r="I81" s="36" t="s">
        <v>212</v>
      </c>
      <c r="J81" s="96" t="str">
        <f t="shared" si="26"/>
        <v/>
      </c>
      <c r="K81" s="36" t="str">
        <f t="shared" si="35"/>
        <v/>
      </c>
      <c r="L81" s="96" t="str">
        <f t="shared" si="27"/>
        <v/>
      </c>
      <c r="M81" s="388" t="str">
        <f t="shared" si="36"/>
        <v/>
      </c>
      <c r="N81" s="96" t="str">
        <f t="shared" si="37"/>
        <v/>
      </c>
      <c r="O81" s="388" t="str">
        <f t="shared" si="38"/>
        <v/>
      </c>
      <c r="P81" s="388" t="str">
        <f t="shared" si="33"/>
        <v/>
      </c>
      <c r="Q81" s="388" t="str">
        <f t="shared" si="34"/>
        <v/>
      </c>
      <c r="R81" s="388"/>
      <c r="S81" s="389">
        <v>12000</v>
      </c>
      <c r="T81" s="262" t="str">
        <f t="shared" si="12"/>
        <v/>
      </c>
    </row>
    <row r="82" spans="2:20" ht="11.4" customHeight="1">
      <c r="B82" s="27" t="str">
        <f t="shared" si="32"/>
        <v>Self-DirectionCommunity Pathways WaiverFamily and Peer Mentoring Supports</v>
      </c>
      <c r="C82" s="27" t="s">
        <v>76</v>
      </c>
      <c r="D82" s="27" t="s">
        <v>298</v>
      </c>
      <c r="E82" s="27" t="s">
        <v>127</v>
      </c>
      <c r="F82" s="27" t="s">
        <v>154</v>
      </c>
      <c r="G82" s="27" t="s">
        <v>329</v>
      </c>
      <c r="H82" s="27" t="s">
        <v>129</v>
      </c>
      <c r="I82" s="38">
        <v>57.54</v>
      </c>
      <c r="J82" s="65">
        <f t="shared" si="26"/>
        <v>3.5000000000000003E-2</v>
      </c>
      <c r="K82" s="38">
        <f t="shared" ref="K82:K87" si="39">ROUND(IF(I82&lt;&gt;"",I82*(1+J82),I82),2)</f>
        <v>59.55</v>
      </c>
      <c r="L82" s="65">
        <f t="shared" si="27"/>
        <v>3.5000000000000003E-2</v>
      </c>
      <c r="M82" s="388">
        <f t="shared" ref="M82:M87" si="40">ROUND(IF(K82&lt;&gt;"",K82*(1+L82),K82),2)</f>
        <v>61.63</v>
      </c>
      <c r="N82" s="65">
        <f t="shared" ref="N82:N87" si="41">IF(M82&lt;&gt;"",$N$5,"")</f>
        <v>0.04</v>
      </c>
      <c r="O82" s="450">
        <v>60.53</v>
      </c>
      <c r="P82" s="388" t="str">
        <f t="shared" si="33"/>
        <v/>
      </c>
      <c r="Q82" s="388" t="str">
        <f t="shared" si="34"/>
        <v/>
      </c>
      <c r="R82" s="388"/>
      <c r="S82" s="389"/>
      <c r="T82" s="262" t="str">
        <f t="shared" ref="T82:T145" si="42">IF(ISERR(Q82/P82-1),"",Q82/P82-1)</f>
        <v/>
      </c>
    </row>
    <row r="83" spans="2:20" ht="11.4" customHeight="1">
      <c r="B83" s="27" t="str">
        <f t="shared" si="32"/>
        <v>Self-DirectionCommunity Supports WaiverFamily and Peer Mentoring Supports</v>
      </c>
      <c r="C83" s="27" t="s">
        <v>76</v>
      </c>
      <c r="D83" s="27" t="s">
        <v>200</v>
      </c>
      <c r="E83" s="27" t="s">
        <v>127</v>
      </c>
      <c r="F83" s="27" t="s">
        <v>154</v>
      </c>
      <c r="G83" s="27" t="s">
        <v>78</v>
      </c>
      <c r="H83" s="27" t="s">
        <v>129</v>
      </c>
      <c r="I83" s="38">
        <v>57.54</v>
      </c>
      <c r="J83" s="65">
        <f t="shared" si="26"/>
        <v>3.5000000000000003E-2</v>
      </c>
      <c r="K83" s="38">
        <f t="shared" si="39"/>
        <v>59.55</v>
      </c>
      <c r="L83" s="65">
        <f t="shared" si="27"/>
        <v>3.5000000000000003E-2</v>
      </c>
      <c r="M83" s="388">
        <f t="shared" si="40"/>
        <v>61.63</v>
      </c>
      <c r="N83" s="65">
        <f t="shared" si="41"/>
        <v>0.04</v>
      </c>
      <c r="O83" s="450">
        <v>60.53</v>
      </c>
      <c r="P83" s="388">
        <f t="shared" si="33"/>
        <v>65.37</v>
      </c>
      <c r="Q83" s="388">
        <f t="shared" si="34"/>
        <v>67.98</v>
      </c>
      <c r="R83" s="388">
        <f t="shared" ref="R83:R87" si="43">+Q83*(1+$R$4)</f>
        <v>70.699200000000005</v>
      </c>
      <c r="S83" s="389" t="s">
        <v>212</v>
      </c>
      <c r="T83" s="262">
        <f t="shared" si="42"/>
        <v>3.9926571821936596E-2</v>
      </c>
    </row>
    <row r="84" spans="2:20" ht="11.4" customHeight="1">
      <c r="B84" s="18" t="str">
        <f t="shared" si="32"/>
        <v>Self-DirectionFamily Supports WaiverFamily and Peer Mentoring Supports</v>
      </c>
      <c r="C84" s="18" t="s">
        <v>76</v>
      </c>
      <c r="D84" s="18" t="s">
        <v>199</v>
      </c>
      <c r="E84" s="18" t="s">
        <v>127</v>
      </c>
      <c r="F84" s="18" t="s">
        <v>154</v>
      </c>
      <c r="G84" s="18" t="s">
        <v>80</v>
      </c>
      <c r="H84" s="18" t="s">
        <v>129</v>
      </c>
      <c r="I84" s="36">
        <v>57.54</v>
      </c>
      <c r="J84" s="96">
        <f t="shared" si="26"/>
        <v>3.5000000000000003E-2</v>
      </c>
      <c r="K84" s="36">
        <f t="shared" si="39"/>
        <v>59.55</v>
      </c>
      <c r="L84" s="96">
        <f t="shared" si="27"/>
        <v>3.5000000000000003E-2</v>
      </c>
      <c r="M84" s="388">
        <f t="shared" si="40"/>
        <v>61.63</v>
      </c>
      <c r="N84" s="96">
        <f t="shared" si="41"/>
        <v>0.04</v>
      </c>
      <c r="O84" s="450">
        <v>60.53</v>
      </c>
      <c r="P84" s="388">
        <f t="shared" si="33"/>
        <v>65.37</v>
      </c>
      <c r="Q84" s="388">
        <f t="shared" si="34"/>
        <v>67.98</v>
      </c>
      <c r="R84" s="388">
        <f t="shared" si="43"/>
        <v>70.699200000000005</v>
      </c>
      <c r="S84" s="389" t="s">
        <v>212</v>
      </c>
      <c r="T84" s="262">
        <f t="shared" si="42"/>
        <v>3.9926571821936596E-2</v>
      </c>
    </row>
    <row r="85" spans="2:20" ht="11.4" customHeight="1">
      <c r="B85" s="18" t="str">
        <f t="shared" si="32"/>
        <v>TraditionalCommunity Pathways WaiverFamily and Peer Mentoring Supports</v>
      </c>
      <c r="C85" s="18" t="s">
        <v>76</v>
      </c>
      <c r="D85" s="18" t="s">
        <v>298</v>
      </c>
      <c r="E85" s="18" t="s">
        <v>33</v>
      </c>
      <c r="F85" s="18" t="s">
        <v>154</v>
      </c>
      <c r="G85" s="18" t="s">
        <v>328</v>
      </c>
      <c r="H85" s="18" t="s">
        <v>129</v>
      </c>
      <c r="I85" s="36">
        <v>57.54</v>
      </c>
      <c r="J85" s="96">
        <f t="shared" si="26"/>
        <v>3.5000000000000003E-2</v>
      </c>
      <c r="K85" s="36">
        <f t="shared" si="39"/>
        <v>59.55</v>
      </c>
      <c r="L85" s="96">
        <f t="shared" si="27"/>
        <v>3.5000000000000003E-2</v>
      </c>
      <c r="M85" s="388">
        <f t="shared" si="40"/>
        <v>61.63</v>
      </c>
      <c r="N85" s="96">
        <f t="shared" si="41"/>
        <v>0.04</v>
      </c>
      <c r="O85" s="450">
        <v>60.53</v>
      </c>
      <c r="P85" s="388">
        <f t="shared" si="33"/>
        <v>65.37</v>
      </c>
      <c r="Q85" s="388">
        <f t="shared" si="34"/>
        <v>67.98</v>
      </c>
      <c r="R85" s="388">
        <f t="shared" si="43"/>
        <v>70.699200000000005</v>
      </c>
      <c r="S85" s="389"/>
      <c r="T85" s="262">
        <f t="shared" si="42"/>
        <v>3.9926571821936596E-2</v>
      </c>
    </row>
    <row r="86" spans="2:20" ht="11.4" customHeight="1">
      <c r="B86" s="18" t="str">
        <f t="shared" si="32"/>
        <v>TraditionalCommunity Supports WaiverFamily and Peer Mentoring Supports</v>
      </c>
      <c r="C86" s="18" t="s">
        <v>76</v>
      </c>
      <c r="D86" s="18" t="s">
        <v>200</v>
      </c>
      <c r="E86" s="18" t="s">
        <v>33</v>
      </c>
      <c r="F86" s="18" t="s">
        <v>154</v>
      </c>
      <c r="G86" s="18" t="s">
        <v>77</v>
      </c>
      <c r="H86" s="18" t="s">
        <v>129</v>
      </c>
      <c r="I86" s="36">
        <v>57.54</v>
      </c>
      <c r="J86" s="96">
        <f t="shared" si="26"/>
        <v>3.5000000000000003E-2</v>
      </c>
      <c r="K86" s="36">
        <f t="shared" si="39"/>
        <v>59.55</v>
      </c>
      <c r="L86" s="96">
        <f t="shared" si="27"/>
        <v>3.5000000000000003E-2</v>
      </c>
      <c r="M86" s="388">
        <f t="shared" si="40"/>
        <v>61.63</v>
      </c>
      <c r="N86" s="96">
        <f t="shared" si="41"/>
        <v>0.04</v>
      </c>
      <c r="O86" s="450">
        <v>60.53</v>
      </c>
      <c r="P86" s="388">
        <f t="shared" si="33"/>
        <v>65.37</v>
      </c>
      <c r="Q86" s="388">
        <f t="shared" si="34"/>
        <v>67.98</v>
      </c>
      <c r="R86" s="388">
        <f t="shared" si="43"/>
        <v>70.699200000000005</v>
      </c>
      <c r="S86" s="389" t="s">
        <v>212</v>
      </c>
      <c r="T86" s="262">
        <f t="shared" si="42"/>
        <v>3.9926571821936596E-2</v>
      </c>
    </row>
    <row r="87" spans="2:20" ht="11.4" customHeight="1">
      <c r="B87" s="27" t="str">
        <f t="shared" si="32"/>
        <v>TraditionalFamily Supports WaiverFamily and Peer Mentoring Supports</v>
      </c>
      <c r="C87" s="27" t="s">
        <v>76</v>
      </c>
      <c r="D87" s="27" t="s">
        <v>199</v>
      </c>
      <c r="E87" s="27" t="s">
        <v>33</v>
      </c>
      <c r="F87" s="27" t="s">
        <v>154</v>
      </c>
      <c r="G87" s="27" t="s">
        <v>79</v>
      </c>
      <c r="H87" s="27" t="s">
        <v>129</v>
      </c>
      <c r="I87" s="38">
        <v>57.54</v>
      </c>
      <c r="J87" s="65">
        <f t="shared" si="26"/>
        <v>3.5000000000000003E-2</v>
      </c>
      <c r="K87" s="38">
        <f t="shared" si="39"/>
        <v>59.55</v>
      </c>
      <c r="L87" s="65">
        <f t="shared" si="27"/>
        <v>3.5000000000000003E-2</v>
      </c>
      <c r="M87" s="388">
        <f t="shared" si="40"/>
        <v>61.63</v>
      </c>
      <c r="N87" s="65">
        <f t="shared" si="41"/>
        <v>0.04</v>
      </c>
      <c r="O87" s="450">
        <v>60.53</v>
      </c>
      <c r="P87" s="388">
        <f t="shared" si="33"/>
        <v>65.37</v>
      </c>
      <c r="Q87" s="388">
        <f t="shared" si="34"/>
        <v>67.98</v>
      </c>
      <c r="R87" s="388">
        <f t="shared" si="43"/>
        <v>70.699200000000005</v>
      </c>
      <c r="S87" s="389" t="s">
        <v>212</v>
      </c>
      <c r="T87" s="262">
        <f t="shared" si="42"/>
        <v>3.9926571821936596E-2</v>
      </c>
    </row>
    <row r="88" spans="2:20" ht="11.4" customHeight="1">
      <c r="B88" s="27" t="str">
        <f t="shared" si="32"/>
        <v>Self-DirectionCommunity Pathways WaiverFamily Caregiver Training and Empowerment</v>
      </c>
      <c r="C88" s="27" t="s">
        <v>81</v>
      </c>
      <c r="D88" s="27" t="s">
        <v>298</v>
      </c>
      <c r="E88" s="27" t="s">
        <v>127</v>
      </c>
      <c r="F88" s="27" t="s">
        <v>154</v>
      </c>
      <c r="G88" s="27" t="s">
        <v>331</v>
      </c>
      <c r="H88" s="27" t="s">
        <v>142</v>
      </c>
      <c r="I88" s="38" t="s">
        <v>212</v>
      </c>
      <c r="J88" s="65" t="str">
        <f t="shared" si="26"/>
        <v/>
      </c>
      <c r="K88" s="38" t="str">
        <f t="shared" ref="K88:K93" si="44">IF(I88&lt;&gt;"",I88*(1+J88),I88)</f>
        <v/>
      </c>
      <c r="L88" s="65" t="str">
        <f t="shared" si="27"/>
        <v/>
      </c>
      <c r="M88" s="388" t="str">
        <f t="shared" ref="M88:M93" si="45">IF(K88&lt;&gt;"",K88*(1+L88),K88)</f>
        <v/>
      </c>
      <c r="N88" s="65" t="str">
        <f t="shared" ref="N88:N93" si="46">IF(M88&lt;&gt;"",$L$5,"")</f>
        <v/>
      </c>
      <c r="O88" s="388" t="str">
        <f t="shared" ref="O88:O93" si="47">IF(M88&lt;&gt;"",M88*(1+N88),M88)</f>
        <v/>
      </c>
      <c r="P88" s="388" t="str">
        <f t="shared" si="33"/>
        <v/>
      </c>
      <c r="Q88" s="388" t="str">
        <f t="shared" si="34"/>
        <v/>
      </c>
      <c r="R88" s="388"/>
      <c r="S88" s="389">
        <v>1075</v>
      </c>
      <c r="T88" s="262" t="str">
        <f t="shared" si="42"/>
        <v/>
      </c>
    </row>
    <row r="89" spans="2:20" ht="11.4" customHeight="1">
      <c r="B89" s="18" t="str">
        <f t="shared" si="32"/>
        <v>Self-DirectionCommunity Supports WaiverFamily Caregiver Training and Empowerment</v>
      </c>
      <c r="C89" s="18" t="s">
        <v>81</v>
      </c>
      <c r="D89" s="18" t="s">
        <v>200</v>
      </c>
      <c r="E89" s="18" t="s">
        <v>127</v>
      </c>
      <c r="F89" s="18" t="s">
        <v>154</v>
      </c>
      <c r="G89" s="18" t="s">
        <v>83</v>
      </c>
      <c r="H89" s="18" t="s">
        <v>142</v>
      </c>
      <c r="I89" s="36" t="s">
        <v>212</v>
      </c>
      <c r="J89" s="96" t="str">
        <f t="shared" si="26"/>
        <v/>
      </c>
      <c r="K89" s="36" t="str">
        <f t="shared" si="44"/>
        <v/>
      </c>
      <c r="L89" s="96" t="str">
        <f t="shared" si="27"/>
        <v/>
      </c>
      <c r="M89" s="388" t="str">
        <f t="shared" si="45"/>
        <v/>
      </c>
      <c r="N89" s="96" t="str">
        <f t="shared" si="46"/>
        <v/>
      </c>
      <c r="O89" s="388" t="str">
        <f t="shared" si="47"/>
        <v/>
      </c>
      <c r="P89" s="388" t="str">
        <f t="shared" si="33"/>
        <v/>
      </c>
      <c r="Q89" s="388" t="str">
        <f t="shared" si="34"/>
        <v/>
      </c>
      <c r="R89" s="388"/>
      <c r="S89" s="389">
        <v>25000</v>
      </c>
      <c r="T89" s="262" t="str">
        <f t="shared" si="42"/>
        <v/>
      </c>
    </row>
    <row r="90" spans="2:20" ht="11.4" customHeight="1">
      <c r="B90" s="27" t="str">
        <f t="shared" si="32"/>
        <v>Self-DirectionFamily Supports WaiverFamily Caregiver Training and Empowerment</v>
      </c>
      <c r="C90" s="27" t="s">
        <v>81</v>
      </c>
      <c r="D90" s="27" t="s">
        <v>199</v>
      </c>
      <c r="E90" s="27" t="s">
        <v>127</v>
      </c>
      <c r="F90" s="27" t="s">
        <v>154</v>
      </c>
      <c r="G90" s="27" t="s">
        <v>85</v>
      </c>
      <c r="H90" s="27" t="s">
        <v>142</v>
      </c>
      <c r="I90" s="38" t="s">
        <v>212</v>
      </c>
      <c r="J90" s="65" t="str">
        <f t="shared" si="26"/>
        <v/>
      </c>
      <c r="K90" s="38" t="str">
        <f t="shared" si="44"/>
        <v/>
      </c>
      <c r="L90" s="65" t="str">
        <f t="shared" si="27"/>
        <v/>
      </c>
      <c r="M90" s="388" t="str">
        <f t="shared" si="45"/>
        <v/>
      </c>
      <c r="N90" s="65" t="str">
        <f t="shared" si="46"/>
        <v/>
      </c>
      <c r="O90" s="388" t="str">
        <f t="shared" si="47"/>
        <v/>
      </c>
      <c r="P90" s="388" t="str">
        <f t="shared" si="33"/>
        <v/>
      </c>
      <c r="Q90" s="388" t="str">
        <f t="shared" si="34"/>
        <v/>
      </c>
      <c r="R90" s="388"/>
      <c r="S90" s="389">
        <v>12000</v>
      </c>
      <c r="T90" s="262" t="str">
        <f t="shared" si="42"/>
        <v/>
      </c>
    </row>
    <row r="91" spans="2:20" ht="11.4" customHeight="1">
      <c r="B91" s="18" t="str">
        <f t="shared" si="32"/>
        <v>TraditionalCommunity Pathways WaiverFamily Caregiver Training and Empowerment</v>
      </c>
      <c r="C91" s="18" t="s">
        <v>81</v>
      </c>
      <c r="D91" s="18" t="s">
        <v>298</v>
      </c>
      <c r="E91" s="18" t="s">
        <v>33</v>
      </c>
      <c r="F91" s="18" t="s">
        <v>154</v>
      </c>
      <c r="G91" s="18" t="s">
        <v>330</v>
      </c>
      <c r="H91" s="18" t="s">
        <v>142</v>
      </c>
      <c r="I91" s="36" t="s">
        <v>212</v>
      </c>
      <c r="J91" s="96" t="str">
        <f t="shared" si="26"/>
        <v/>
      </c>
      <c r="K91" s="36" t="str">
        <f t="shared" si="44"/>
        <v/>
      </c>
      <c r="L91" s="96" t="str">
        <f t="shared" si="27"/>
        <v/>
      </c>
      <c r="M91" s="388" t="str">
        <f t="shared" si="45"/>
        <v/>
      </c>
      <c r="N91" s="96" t="str">
        <f t="shared" si="46"/>
        <v/>
      </c>
      <c r="O91" s="388" t="str">
        <f t="shared" si="47"/>
        <v/>
      </c>
      <c r="P91" s="388" t="str">
        <f t="shared" si="33"/>
        <v/>
      </c>
      <c r="Q91" s="388" t="str">
        <f t="shared" si="34"/>
        <v/>
      </c>
      <c r="R91" s="388"/>
      <c r="S91" s="389">
        <v>1075</v>
      </c>
      <c r="T91" s="262" t="str">
        <f t="shared" si="42"/>
        <v/>
      </c>
    </row>
    <row r="92" spans="2:20" ht="11.4" customHeight="1">
      <c r="B92" s="27" t="str">
        <f t="shared" si="32"/>
        <v>TraditionalCommunity Supports WaiverFamily Caregiver Training and Empowerment</v>
      </c>
      <c r="C92" s="27" t="s">
        <v>81</v>
      </c>
      <c r="D92" s="27" t="s">
        <v>200</v>
      </c>
      <c r="E92" s="27" t="s">
        <v>33</v>
      </c>
      <c r="F92" s="27" t="s">
        <v>154</v>
      </c>
      <c r="G92" s="27" t="s">
        <v>82</v>
      </c>
      <c r="H92" s="27" t="s">
        <v>142</v>
      </c>
      <c r="I92" s="38" t="s">
        <v>212</v>
      </c>
      <c r="J92" s="65" t="str">
        <f t="shared" si="26"/>
        <v/>
      </c>
      <c r="K92" s="38" t="str">
        <f t="shared" si="44"/>
        <v/>
      </c>
      <c r="L92" s="65" t="str">
        <f t="shared" si="27"/>
        <v/>
      </c>
      <c r="M92" s="388" t="str">
        <f t="shared" si="45"/>
        <v/>
      </c>
      <c r="N92" s="65" t="str">
        <f t="shared" si="46"/>
        <v/>
      </c>
      <c r="O92" s="388" t="str">
        <f t="shared" si="47"/>
        <v/>
      </c>
      <c r="P92" s="388" t="str">
        <f t="shared" si="33"/>
        <v/>
      </c>
      <c r="Q92" s="388" t="str">
        <f t="shared" si="34"/>
        <v/>
      </c>
      <c r="R92" s="388"/>
      <c r="S92" s="389">
        <v>25000</v>
      </c>
      <c r="T92" s="262" t="str">
        <f t="shared" si="42"/>
        <v/>
      </c>
    </row>
    <row r="93" spans="2:20" ht="11.4" customHeight="1">
      <c r="B93" s="18" t="str">
        <f t="shared" si="32"/>
        <v>TraditionalFamily Supports WaiverFamily Caregiver Training and Empowerment</v>
      </c>
      <c r="C93" s="18" t="s">
        <v>81</v>
      </c>
      <c r="D93" s="18" t="s">
        <v>199</v>
      </c>
      <c r="E93" s="18" t="s">
        <v>33</v>
      </c>
      <c r="F93" s="18" t="s">
        <v>154</v>
      </c>
      <c r="G93" s="18" t="s">
        <v>84</v>
      </c>
      <c r="H93" s="18" t="s">
        <v>142</v>
      </c>
      <c r="I93" s="36" t="s">
        <v>212</v>
      </c>
      <c r="J93" s="96" t="str">
        <f t="shared" si="26"/>
        <v/>
      </c>
      <c r="K93" s="36" t="str">
        <f t="shared" si="44"/>
        <v/>
      </c>
      <c r="L93" s="96" t="str">
        <f t="shared" si="27"/>
        <v/>
      </c>
      <c r="M93" s="388" t="str">
        <f t="shared" si="45"/>
        <v/>
      </c>
      <c r="N93" s="96" t="str">
        <f t="shared" si="46"/>
        <v/>
      </c>
      <c r="O93" s="388" t="str">
        <f t="shared" si="47"/>
        <v/>
      </c>
      <c r="P93" s="388" t="str">
        <f t="shared" si="33"/>
        <v/>
      </c>
      <c r="Q93" s="388" t="str">
        <f t="shared" si="34"/>
        <v/>
      </c>
      <c r="R93" s="388"/>
      <c r="S93" s="389">
        <v>12000</v>
      </c>
      <c r="T93" s="262" t="str">
        <f t="shared" si="42"/>
        <v/>
      </c>
    </row>
    <row r="94" spans="2:20" ht="11.4" customHeight="1">
      <c r="B94" s="27" t="str">
        <f t="shared" si="32"/>
        <v>Self-DirectionCommunity Pathways WaiverHousing Support Services</v>
      </c>
      <c r="C94" s="27" t="s">
        <v>86</v>
      </c>
      <c r="D94" s="27" t="s">
        <v>298</v>
      </c>
      <c r="E94" s="27" t="s">
        <v>127</v>
      </c>
      <c r="F94" s="27" t="s">
        <v>154</v>
      </c>
      <c r="G94" s="27" t="s">
        <v>333</v>
      </c>
      <c r="H94" s="27" t="s">
        <v>129</v>
      </c>
      <c r="I94" s="38">
        <v>49.76</v>
      </c>
      <c r="J94" s="65">
        <f t="shared" si="26"/>
        <v>3.5000000000000003E-2</v>
      </c>
      <c r="K94" s="38">
        <f t="shared" ref="K94:K99" si="48">ROUND(IF(I94&lt;&gt;"",I94*(1+J94),I94),2)</f>
        <v>51.5</v>
      </c>
      <c r="L94" s="65">
        <f t="shared" si="27"/>
        <v>3.5000000000000003E-2</v>
      </c>
      <c r="M94" s="388">
        <f t="shared" ref="M94:M99" si="49">ROUND(IF(K94&lt;&gt;"",K94*(1+L94),K94),2)</f>
        <v>53.3</v>
      </c>
      <c r="N94" s="65">
        <f t="shared" ref="N94:N99" si="50">IF(M94&lt;&gt;"",$N$5,"")</f>
        <v>0.04</v>
      </c>
      <c r="O94" s="450">
        <v>62.76</v>
      </c>
      <c r="P94" s="388" t="str">
        <f t="shared" si="33"/>
        <v/>
      </c>
      <c r="Q94" s="388" t="str">
        <f t="shared" si="34"/>
        <v/>
      </c>
      <c r="R94" s="388"/>
      <c r="S94" s="389"/>
      <c r="T94" s="262" t="str">
        <f t="shared" si="42"/>
        <v/>
      </c>
    </row>
    <row r="95" spans="2:20" ht="11.4" customHeight="1">
      <c r="B95" s="27" t="str">
        <f t="shared" si="32"/>
        <v>Self-DirectionCommunity Supports WaiverHousing Support Services</v>
      </c>
      <c r="C95" s="27" t="s">
        <v>86</v>
      </c>
      <c r="D95" s="27" t="s">
        <v>200</v>
      </c>
      <c r="E95" s="27" t="s">
        <v>127</v>
      </c>
      <c r="F95" s="27" t="s">
        <v>154</v>
      </c>
      <c r="G95" s="27" t="s">
        <v>411</v>
      </c>
      <c r="H95" s="27" t="s">
        <v>129</v>
      </c>
      <c r="I95" s="38">
        <v>49.76</v>
      </c>
      <c r="J95" s="65">
        <f t="shared" si="26"/>
        <v>3.5000000000000003E-2</v>
      </c>
      <c r="K95" s="38">
        <f t="shared" si="48"/>
        <v>51.5</v>
      </c>
      <c r="L95" s="65">
        <f t="shared" si="27"/>
        <v>3.5000000000000003E-2</v>
      </c>
      <c r="M95" s="388">
        <f t="shared" si="49"/>
        <v>53.3</v>
      </c>
      <c r="N95" s="65">
        <f t="shared" si="50"/>
        <v>0.04</v>
      </c>
      <c r="O95" s="450">
        <v>62.76</v>
      </c>
      <c r="P95" s="388">
        <f t="shared" si="33"/>
        <v>67.78</v>
      </c>
      <c r="Q95" s="388">
        <f t="shared" si="34"/>
        <v>70.489999999999995</v>
      </c>
      <c r="R95" s="388">
        <f t="shared" ref="R95:R99" si="51">+Q95*(1+$R$4)</f>
        <v>73.309600000000003</v>
      </c>
      <c r="S95" s="389" t="s">
        <v>212</v>
      </c>
      <c r="T95" s="262">
        <f t="shared" si="42"/>
        <v>3.9982295662437162E-2</v>
      </c>
    </row>
    <row r="96" spans="2:20" ht="11.4" customHeight="1">
      <c r="B96" s="18" t="str">
        <f t="shared" si="32"/>
        <v>Self-DirectionFamily Supports WaiverHousing Support Services</v>
      </c>
      <c r="C96" s="18" t="s">
        <v>86</v>
      </c>
      <c r="D96" s="18" t="s">
        <v>199</v>
      </c>
      <c r="E96" s="18" t="s">
        <v>127</v>
      </c>
      <c r="F96" s="18" t="s">
        <v>154</v>
      </c>
      <c r="G96" s="18" t="s">
        <v>413</v>
      </c>
      <c r="H96" s="18" t="s">
        <v>129</v>
      </c>
      <c r="I96" s="36">
        <v>49.76</v>
      </c>
      <c r="J96" s="96">
        <f t="shared" si="26"/>
        <v>3.5000000000000003E-2</v>
      </c>
      <c r="K96" s="36">
        <f t="shared" si="48"/>
        <v>51.5</v>
      </c>
      <c r="L96" s="96">
        <f t="shared" si="27"/>
        <v>3.5000000000000003E-2</v>
      </c>
      <c r="M96" s="388">
        <f t="shared" si="49"/>
        <v>53.3</v>
      </c>
      <c r="N96" s="96">
        <f t="shared" si="50"/>
        <v>0.04</v>
      </c>
      <c r="O96" s="450">
        <v>62.76</v>
      </c>
      <c r="P96" s="388">
        <f t="shared" si="33"/>
        <v>67.78</v>
      </c>
      <c r="Q96" s="388">
        <f t="shared" si="34"/>
        <v>70.489999999999995</v>
      </c>
      <c r="R96" s="388">
        <f t="shared" si="51"/>
        <v>73.309600000000003</v>
      </c>
      <c r="S96" s="389" t="s">
        <v>212</v>
      </c>
      <c r="T96" s="262">
        <f t="shared" si="42"/>
        <v>3.9982295662437162E-2</v>
      </c>
    </row>
    <row r="97" spans="2:20" ht="11.4" customHeight="1">
      <c r="B97" s="18" t="str">
        <f t="shared" si="32"/>
        <v>TraditionalCommunity Pathways WaiverHousing Support Services</v>
      </c>
      <c r="C97" s="18" t="s">
        <v>86</v>
      </c>
      <c r="D97" s="18" t="s">
        <v>298</v>
      </c>
      <c r="E97" s="18" t="s">
        <v>33</v>
      </c>
      <c r="F97" s="18" t="s">
        <v>154</v>
      </c>
      <c r="G97" s="18" t="s">
        <v>332</v>
      </c>
      <c r="H97" s="18" t="s">
        <v>129</v>
      </c>
      <c r="I97" s="36">
        <v>49.76</v>
      </c>
      <c r="J97" s="96">
        <f t="shared" si="26"/>
        <v>3.5000000000000003E-2</v>
      </c>
      <c r="K97" s="36">
        <f t="shared" si="48"/>
        <v>51.5</v>
      </c>
      <c r="L97" s="96">
        <f t="shared" si="27"/>
        <v>3.5000000000000003E-2</v>
      </c>
      <c r="M97" s="388">
        <f t="shared" si="49"/>
        <v>53.3</v>
      </c>
      <c r="N97" s="96">
        <f t="shared" si="50"/>
        <v>0.04</v>
      </c>
      <c r="O97" s="450">
        <v>62.76</v>
      </c>
      <c r="P97" s="388">
        <f t="shared" si="33"/>
        <v>67.78</v>
      </c>
      <c r="Q97" s="388">
        <f t="shared" si="34"/>
        <v>70.489999999999995</v>
      </c>
      <c r="R97" s="388">
        <f t="shared" si="51"/>
        <v>73.309600000000003</v>
      </c>
      <c r="S97" s="389"/>
      <c r="T97" s="262">
        <f t="shared" si="42"/>
        <v>3.9982295662437162E-2</v>
      </c>
    </row>
    <row r="98" spans="2:20" ht="11.4" customHeight="1">
      <c r="B98" s="18" t="str">
        <f t="shared" si="32"/>
        <v>TraditionalCommunity Supports WaiverHousing Support Services</v>
      </c>
      <c r="C98" s="18" t="s">
        <v>86</v>
      </c>
      <c r="D98" s="18" t="s">
        <v>200</v>
      </c>
      <c r="E98" s="18" t="s">
        <v>33</v>
      </c>
      <c r="F98" s="18" t="s">
        <v>154</v>
      </c>
      <c r="G98" s="18" t="s">
        <v>410</v>
      </c>
      <c r="H98" s="18" t="s">
        <v>129</v>
      </c>
      <c r="I98" s="36">
        <v>49.76</v>
      </c>
      <c r="J98" s="96">
        <f t="shared" si="26"/>
        <v>3.5000000000000003E-2</v>
      </c>
      <c r="K98" s="36">
        <f t="shared" si="48"/>
        <v>51.5</v>
      </c>
      <c r="L98" s="96">
        <f t="shared" si="27"/>
        <v>3.5000000000000003E-2</v>
      </c>
      <c r="M98" s="388">
        <f t="shared" si="49"/>
        <v>53.3</v>
      </c>
      <c r="N98" s="96">
        <f t="shared" si="50"/>
        <v>0.04</v>
      </c>
      <c r="O98" s="450">
        <v>62.76</v>
      </c>
      <c r="P98" s="388">
        <f t="shared" si="33"/>
        <v>67.78</v>
      </c>
      <c r="Q98" s="388">
        <f t="shared" si="34"/>
        <v>70.489999999999995</v>
      </c>
      <c r="R98" s="388">
        <f t="shared" si="51"/>
        <v>73.309600000000003</v>
      </c>
      <c r="S98" s="389" t="s">
        <v>212</v>
      </c>
      <c r="T98" s="262">
        <f t="shared" si="42"/>
        <v>3.9982295662437162E-2</v>
      </c>
    </row>
    <row r="99" spans="2:20" ht="11.4" customHeight="1">
      <c r="B99" s="27" t="str">
        <f t="shared" si="32"/>
        <v>TraditionalFamily Supports WaiverHousing Support Services</v>
      </c>
      <c r="C99" s="27" t="s">
        <v>86</v>
      </c>
      <c r="D99" s="27" t="s">
        <v>199</v>
      </c>
      <c r="E99" s="27" t="s">
        <v>33</v>
      </c>
      <c r="F99" s="27" t="s">
        <v>154</v>
      </c>
      <c r="G99" s="27" t="s">
        <v>412</v>
      </c>
      <c r="H99" s="27" t="s">
        <v>129</v>
      </c>
      <c r="I99" s="38">
        <v>49.76</v>
      </c>
      <c r="J99" s="65">
        <f t="shared" si="26"/>
        <v>3.5000000000000003E-2</v>
      </c>
      <c r="K99" s="38">
        <f t="shared" si="48"/>
        <v>51.5</v>
      </c>
      <c r="L99" s="65">
        <f t="shared" si="27"/>
        <v>3.5000000000000003E-2</v>
      </c>
      <c r="M99" s="388">
        <f t="shared" si="49"/>
        <v>53.3</v>
      </c>
      <c r="N99" s="65">
        <f t="shared" si="50"/>
        <v>0.04</v>
      </c>
      <c r="O99" s="450">
        <v>62.76</v>
      </c>
      <c r="P99" s="388">
        <f t="shared" si="33"/>
        <v>67.78</v>
      </c>
      <c r="Q99" s="388">
        <f t="shared" si="34"/>
        <v>70.489999999999995</v>
      </c>
      <c r="R99" s="388">
        <f t="shared" si="51"/>
        <v>73.309600000000003</v>
      </c>
      <c r="S99" s="389" t="s">
        <v>212</v>
      </c>
      <c r="T99" s="262">
        <f t="shared" si="42"/>
        <v>3.9982295662437162E-2</v>
      </c>
    </row>
    <row r="100" spans="2:20" s="440" customFormat="1" ht="11.4" customHeight="1">
      <c r="B100" s="435" t="str">
        <f t="shared" si="32"/>
        <v>Self-DirectionCommunity Pathways WaiverIndividual and Family Directed Goods &amp; Services</v>
      </c>
      <c r="C100" s="435" t="s">
        <v>87</v>
      </c>
      <c r="D100" s="435" t="s">
        <v>298</v>
      </c>
      <c r="E100" s="435" t="s">
        <v>127</v>
      </c>
      <c r="F100" s="435" t="s">
        <v>154</v>
      </c>
      <c r="G100" s="435" t="s">
        <v>334</v>
      </c>
      <c r="H100" s="435" t="s">
        <v>142</v>
      </c>
      <c r="I100" s="436" t="s">
        <v>212</v>
      </c>
      <c r="J100" s="437" t="str">
        <f t="shared" si="26"/>
        <v/>
      </c>
      <c r="K100" s="436" t="str">
        <f>IF(I100&lt;&gt;"",I100*(1+J100),I100)</f>
        <v/>
      </c>
      <c r="L100" s="437" t="str">
        <f t="shared" si="27"/>
        <v/>
      </c>
      <c r="M100" s="436" t="str">
        <f>IF(K100&lt;&gt;"",K100*(1+L100),K100)</f>
        <v/>
      </c>
      <c r="N100" s="437" t="str">
        <f>IF(M100&lt;&gt;"",$L$5,"")</f>
        <v/>
      </c>
      <c r="O100" s="436" t="str">
        <f>IF(M100&lt;&gt;"",M100*(1+N100),M100)</f>
        <v/>
      </c>
      <c r="P100" s="388" t="str">
        <f t="shared" si="33"/>
        <v/>
      </c>
      <c r="Q100" s="388" t="str">
        <f t="shared" si="34"/>
        <v/>
      </c>
      <c r="R100" s="388"/>
      <c r="S100" s="439">
        <v>5000</v>
      </c>
      <c r="T100" s="262" t="str">
        <f t="shared" si="42"/>
        <v/>
      </c>
    </row>
    <row r="101" spans="2:20" s="440" customFormat="1" ht="11.4" customHeight="1">
      <c r="B101" s="435" t="str">
        <f t="shared" si="32"/>
        <v>Self-DirectionCommunity Supports WaiverIndividual and Family Directed Goods &amp; Services</v>
      </c>
      <c r="C101" s="435" t="s">
        <v>87</v>
      </c>
      <c r="D101" s="435" t="s">
        <v>200</v>
      </c>
      <c r="E101" s="435" t="s">
        <v>127</v>
      </c>
      <c r="F101" s="435" t="s">
        <v>154</v>
      </c>
      <c r="G101" s="435" t="s">
        <v>447</v>
      </c>
      <c r="H101" s="435" t="s">
        <v>142</v>
      </c>
      <c r="I101" s="436"/>
      <c r="J101" s="437"/>
      <c r="K101" s="436"/>
      <c r="L101" s="437"/>
      <c r="M101" s="436"/>
      <c r="N101" s="437"/>
      <c r="O101" s="436"/>
      <c r="P101" s="388" t="str">
        <f t="shared" si="33"/>
        <v/>
      </c>
      <c r="Q101" s="388" t="str">
        <f t="shared" si="34"/>
        <v/>
      </c>
      <c r="R101" s="388"/>
      <c r="S101" s="439">
        <v>5000</v>
      </c>
      <c r="T101" s="262" t="str">
        <f t="shared" si="42"/>
        <v/>
      </c>
    </row>
    <row r="102" spans="2:20" s="440" customFormat="1" ht="11.4" customHeight="1">
      <c r="B102" s="435" t="str">
        <f t="shared" si="32"/>
        <v>Self-DirectionFamily Supports WaiverIndividual and Family Directed Goods &amp; Services</v>
      </c>
      <c r="C102" s="435" t="s">
        <v>87</v>
      </c>
      <c r="D102" s="435" t="s">
        <v>199</v>
      </c>
      <c r="E102" s="435" t="s">
        <v>127</v>
      </c>
      <c r="F102" s="435" t="s">
        <v>154</v>
      </c>
      <c r="G102" s="435" t="s">
        <v>335</v>
      </c>
      <c r="H102" s="435" t="s">
        <v>142</v>
      </c>
      <c r="I102" s="436"/>
      <c r="J102" s="437"/>
      <c r="K102" s="436"/>
      <c r="L102" s="437"/>
      <c r="M102" s="436"/>
      <c r="N102" s="437"/>
      <c r="O102" s="436"/>
      <c r="P102" s="388" t="str">
        <f t="shared" si="33"/>
        <v/>
      </c>
      <c r="Q102" s="388" t="str">
        <f t="shared" si="34"/>
        <v/>
      </c>
      <c r="R102" s="388"/>
      <c r="S102" s="439">
        <v>5000</v>
      </c>
      <c r="T102" s="262" t="str">
        <f t="shared" si="42"/>
        <v/>
      </c>
    </row>
    <row r="103" spans="2:20" s="440" customFormat="1" ht="11.4" customHeight="1">
      <c r="B103" s="435" t="str">
        <f t="shared" si="32"/>
        <v>Self-DirectionCommunity Pathways WaiverIndividual and Family Directed Goods and Services - Recruitment &amp; Advertising</v>
      </c>
      <c r="C103" s="435" t="s">
        <v>493</v>
      </c>
      <c r="D103" s="435" t="s">
        <v>298</v>
      </c>
      <c r="E103" s="435" t="s">
        <v>127</v>
      </c>
      <c r="F103" s="435" t="s">
        <v>154</v>
      </c>
      <c r="G103" s="435" t="s">
        <v>476</v>
      </c>
      <c r="H103" s="435" t="s">
        <v>142</v>
      </c>
      <c r="I103" s="436" t="s">
        <v>212</v>
      </c>
      <c r="J103" s="438" t="str">
        <f>IF(I103&lt;&gt;"",$J$5,"")</f>
        <v/>
      </c>
      <c r="K103" s="436" t="str">
        <f>IF(I103&lt;&gt;"",I103*(1+J103),I103)</f>
        <v/>
      </c>
      <c r="L103" s="438" t="str">
        <f>IF(K103&lt;&gt;"",$L$5,"")</f>
        <v/>
      </c>
      <c r="M103" s="436" t="str">
        <f>IF(K103&lt;&gt;"",K103*(1+L103),K103)</f>
        <v/>
      </c>
      <c r="N103" s="438" t="str">
        <f>IF(M103&lt;&gt;"",$L$5,"")</f>
        <v/>
      </c>
      <c r="O103" s="436" t="str">
        <f>IF(M103&lt;&gt;"",M103*(1+N103),M103)</f>
        <v/>
      </c>
      <c r="P103" s="388" t="str">
        <f t="shared" si="33"/>
        <v/>
      </c>
      <c r="Q103" s="388" t="str">
        <f t="shared" si="34"/>
        <v/>
      </c>
      <c r="R103" s="388"/>
      <c r="S103" s="439">
        <v>500</v>
      </c>
      <c r="T103" s="262" t="str">
        <f t="shared" si="42"/>
        <v/>
      </c>
    </row>
    <row r="104" spans="2:20" s="440" customFormat="1" ht="11.4" customHeight="1">
      <c r="B104" s="435" t="str">
        <f t="shared" si="32"/>
        <v>Self-DirectionCommunity Supports WaiverIndividual and Family Directed Goods and Services - Recruitment &amp; Advertising</v>
      </c>
      <c r="C104" s="435" t="s">
        <v>493</v>
      </c>
      <c r="D104" s="435" t="s">
        <v>200</v>
      </c>
      <c r="E104" s="435" t="s">
        <v>127</v>
      </c>
      <c r="F104" s="435" t="s">
        <v>154</v>
      </c>
      <c r="G104" s="435" t="s">
        <v>477</v>
      </c>
      <c r="H104" s="435" t="s">
        <v>142</v>
      </c>
      <c r="I104" s="436" t="s">
        <v>212</v>
      </c>
      <c r="J104" s="437" t="str">
        <f>IF(I104&lt;&gt;"",$J$5,"")</f>
        <v/>
      </c>
      <c r="K104" s="436" t="str">
        <f>IF(I104&lt;&gt;"",I104*(1+J104),I104)</f>
        <v/>
      </c>
      <c r="L104" s="437" t="str">
        <f>IF(K104&lt;&gt;"",$L$5,"")</f>
        <v/>
      </c>
      <c r="M104" s="436" t="str">
        <f>IF(K104&lt;&gt;"",K104*(1+L104),K104)</f>
        <v/>
      </c>
      <c r="N104" s="437" t="str">
        <f>IF(M104&lt;&gt;"",$L$5,"")</f>
        <v/>
      </c>
      <c r="O104" s="436" t="str">
        <f>IF(M104&lt;&gt;"",M104*(1+N104),M104)</f>
        <v/>
      </c>
      <c r="P104" s="388" t="str">
        <f t="shared" si="33"/>
        <v/>
      </c>
      <c r="Q104" s="388" t="str">
        <f t="shared" si="34"/>
        <v/>
      </c>
      <c r="R104" s="388"/>
      <c r="S104" s="439">
        <v>500</v>
      </c>
      <c r="T104" s="262" t="str">
        <f t="shared" si="42"/>
        <v/>
      </c>
    </row>
    <row r="105" spans="2:20" s="440" customFormat="1" ht="11.4" customHeight="1">
      <c r="B105" s="435" t="str">
        <f t="shared" ref="B105:B136" si="52">CONCATENATE(E105,D105,C105)</f>
        <v>Self-DirectionFamily Supports WaiverIndividual and Family Directed Goods and Services - Recruitment &amp; Advertising</v>
      </c>
      <c r="C105" s="435" t="s">
        <v>493</v>
      </c>
      <c r="D105" s="435" t="s">
        <v>199</v>
      </c>
      <c r="E105" s="435" t="s">
        <v>127</v>
      </c>
      <c r="F105" s="435" t="s">
        <v>154</v>
      </c>
      <c r="G105" s="435" t="s">
        <v>448</v>
      </c>
      <c r="H105" s="435" t="s">
        <v>142</v>
      </c>
      <c r="I105" s="436" t="s">
        <v>212</v>
      </c>
      <c r="J105" s="438" t="str">
        <f>IF(I105&lt;&gt;"",$J$5,"")</f>
        <v/>
      </c>
      <c r="K105" s="436" t="str">
        <f>IF(I105&lt;&gt;"",I105*(1+J105),I105)</f>
        <v/>
      </c>
      <c r="L105" s="438" t="str">
        <f>IF(K105&lt;&gt;"",$L$5,"")</f>
        <v/>
      </c>
      <c r="M105" s="436" t="str">
        <f>IF(K105&lt;&gt;"",K105*(1+L105),K105)</f>
        <v/>
      </c>
      <c r="N105" s="438" t="str">
        <f>IF(M105&lt;&gt;"",$L$5,"")</f>
        <v/>
      </c>
      <c r="O105" s="436" t="str">
        <f>IF(M105&lt;&gt;"",M105*(1+N105),M105)</f>
        <v/>
      </c>
      <c r="P105" s="388" t="str">
        <f t="shared" si="33"/>
        <v/>
      </c>
      <c r="Q105" s="388" t="str">
        <f t="shared" si="34"/>
        <v/>
      </c>
      <c r="R105" s="388"/>
      <c r="S105" s="439">
        <v>500</v>
      </c>
      <c r="T105" s="262" t="str">
        <f t="shared" si="42"/>
        <v/>
      </c>
    </row>
    <row r="106" spans="2:20" ht="11.4" customHeight="1">
      <c r="B106" s="27" t="str">
        <f t="shared" si="52"/>
        <v>Self-DirectionCommunity Pathways WaiverLive In Caregiver Support</v>
      </c>
      <c r="C106" s="27" t="s">
        <v>407</v>
      </c>
      <c r="D106" s="27" t="s">
        <v>298</v>
      </c>
      <c r="E106" s="27" t="s">
        <v>127</v>
      </c>
      <c r="F106" s="27" t="s">
        <v>154</v>
      </c>
      <c r="G106" s="27" t="s">
        <v>348</v>
      </c>
      <c r="H106" s="27" t="s">
        <v>135</v>
      </c>
      <c r="I106" s="38">
        <v>1200</v>
      </c>
      <c r="J106" s="65">
        <v>0</v>
      </c>
      <c r="K106" s="38">
        <f>ROUND(IF(I106&lt;&gt;"",I106*(1+J106),I106),2)</f>
        <v>1200</v>
      </c>
      <c r="L106" s="65">
        <v>0</v>
      </c>
      <c r="M106" s="388">
        <f>ROUND(IF(K106&lt;&gt;"",K106*(1+L106),K106),2)</f>
        <v>1200</v>
      </c>
      <c r="N106" s="65">
        <v>0</v>
      </c>
      <c r="O106" s="388">
        <f>ROUND(IF(M106&lt;&gt;"",M106*(1+N106),M106),2)</f>
        <v>1200</v>
      </c>
      <c r="P106" s="388" t="str">
        <f t="shared" si="33"/>
        <v/>
      </c>
      <c r="Q106" s="388" t="str">
        <f t="shared" si="34"/>
        <v/>
      </c>
      <c r="R106" s="388"/>
      <c r="S106" s="389"/>
      <c r="T106" s="262" t="str">
        <f t="shared" si="42"/>
        <v/>
      </c>
    </row>
    <row r="107" spans="2:20" ht="11.4" customHeight="1">
      <c r="B107" s="18" t="str">
        <f t="shared" si="52"/>
        <v>TraditionalCommunity Pathways WaiverLive In Caregiver Support</v>
      </c>
      <c r="C107" s="18" t="s">
        <v>407</v>
      </c>
      <c r="D107" s="18" t="s">
        <v>298</v>
      </c>
      <c r="E107" s="18" t="s">
        <v>33</v>
      </c>
      <c r="F107" s="18" t="s">
        <v>154</v>
      </c>
      <c r="G107" s="18" t="s">
        <v>347</v>
      </c>
      <c r="H107" s="18" t="s">
        <v>135</v>
      </c>
      <c r="I107" s="36">
        <v>1200</v>
      </c>
      <c r="J107" s="96">
        <v>0</v>
      </c>
      <c r="K107" s="36">
        <f>ROUND(IF(I107&lt;&gt;"",I107*(1+J107),I107),2)</f>
        <v>1200</v>
      </c>
      <c r="L107" s="96">
        <v>0</v>
      </c>
      <c r="M107" s="388">
        <f>ROUND(IF(K107&lt;&gt;"",K107*(1+L107),K107),2)</f>
        <v>1200</v>
      </c>
      <c r="N107" s="96">
        <v>0</v>
      </c>
      <c r="O107" s="388">
        <f>ROUND(IF(M107&lt;&gt;"",M107*(1+N107),M107),2)</f>
        <v>1200</v>
      </c>
      <c r="P107" s="388">
        <f t="shared" si="33"/>
        <v>1200</v>
      </c>
      <c r="Q107" s="388">
        <f t="shared" si="34"/>
        <v>1200</v>
      </c>
      <c r="R107" s="388">
        <f t="shared" ref="R107" si="53">+Q107*(1+$R$4)</f>
        <v>1248</v>
      </c>
      <c r="S107" s="389"/>
      <c r="T107" s="262">
        <f t="shared" si="42"/>
        <v>0</v>
      </c>
    </row>
    <row r="108" spans="2:20" ht="11.4" customHeight="1">
      <c r="B108" s="27" t="str">
        <f t="shared" si="52"/>
        <v>TraditionalCommunity Supports WaiverMedical Day Care</v>
      </c>
      <c r="C108" s="27" t="s">
        <v>207</v>
      </c>
      <c r="D108" s="27" t="s">
        <v>200</v>
      </c>
      <c r="E108" s="27" t="s">
        <v>33</v>
      </c>
      <c r="F108" s="27" t="s">
        <v>91</v>
      </c>
      <c r="G108" s="27" t="s">
        <v>202</v>
      </c>
      <c r="H108" s="27" t="s">
        <v>134</v>
      </c>
      <c r="I108" s="38">
        <v>77.510000000000005</v>
      </c>
      <c r="J108" s="65">
        <f>IF(I108&lt;&gt;"",$J$5,"")</f>
        <v>3.5000000000000003E-2</v>
      </c>
      <c r="K108" s="38">
        <f>ROUND(IF(I108&lt;&gt;"",I108*(1+J108),I108),2)</f>
        <v>80.22</v>
      </c>
      <c r="L108" s="65">
        <f>IF(K108&lt;&gt;"",$L$5,"")</f>
        <v>3.5000000000000003E-2</v>
      </c>
      <c r="M108" s="38">
        <f>ROUND(IF(K108&lt;&gt;"",K108*(1+L108),K108),2)</f>
        <v>83.03</v>
      </c>
      <c r="N108" s="65">
        <f t="shared" ref="N108:N122" si="54">IF(M108&lt;&gt;"",$N$5,"")</f>
        <v>0.04</v>
      </c>
      <c r="O108" s="38">
        <f>ROUND(IF(M108&lt;&gt;"",M108*(1+N108),M108),2)</f>
        <v>86.35</v>
      </c>
      <c r="P108" s="388" t="str">
        <f t="shared" si="33"/>
        <v/>
      </c>
      <c r="Q108" s="388" t="str">
        <f t="shared" si="34"/>
        <v/>
      </c>
      <c r="R108" s="388"/>
      <c r="S108" s="39"/>
      <c r="T108" s="262" t="str">
        <f t="shared" si="42"/>
        <v/>
      </c>
    </row>
    <row r="109" spans="2:20" ht="11.4" customHeight="1">
      <c r="B109" s="27" t="str">
        <f t="shared" si="52"/>
        <v>Self-DirectionCommunity Pathways WaiverNursing - Nurse Case Management and Delegation</v>
      </c>
      <c r="C109" s="27" t="s">
        <v>88</v>
      </c>
      <c r="D109" s="27" t="s">
        <v>298</v>
      </c>
      <c r="E109" s="27" t="s">
        <v>127</v>
      </c>
      <c r="F109" s="27" t="s">
        <v>154</v>
      </c>
      <c r="G109" s="27" t="s">
        <v>337</v>
      </c>
      <c r="H109" s="27" t="s">
        <v>133</v>
      </c>
      <c r="I109" s="38">
        <v>18.07</v>
      </c>
      <c r="J109" s="65">
        <f>IF(I109&lt;&gt;"",$J$5,"")</f>
        <v>3.5000000000000003E-2</v>
      </c>
      <c r="K109" s="38">
        <f>ROUND(IF(I109&lt;&gt;"",I109*(1+J109),I109),2)</f>
        <v>18.7</v>
      </c>
      <c r="L109" s="65">
        <f>IF(K109&lt;&gt;"",$L$5,"")</f>
        <v>3.5000000000000003E-2</v>
      </c>
      <c r="M109" s="388">
        <f>ROUND(IF(K109&lt;&gt;"",K109*(1+L109),K109),2)</f>
        <v>19.350000000000001</v>
      </c>
      <c r="N109" s="65">
        <f t="shared" si="54"/>
        <v>0.04</v>
      </c>
      <c r="O109" s="450">
        <v>19.89</v>
      </c>
      <c r="P109" s="388" t="str">
        <f t="shared" si="33"/>
        <v/>
      </c>
      <c r="Q109" s="388" t="str">
        <f t="shared" si="34"/>
        <v/>
      </c>
      <c r="R109" s="388"/>
      <c r="S109" s="389"/>
      <c r="T109" s="262" t="str">
        <f t="shared" si="42"/>
        <v/>
      </c>
    </row>
    <row r="110" spans="2:20" ht="11.4" customHeight="1">
      <c r="B110" s="27" t="str">
        <f t="shared" si="52"/>
        <v>Self-DirectionCommunity Supports WaiverNursing - Nurse Case Management and Delegation</v>
      </c>
      <c r="C110" s="27" t="s">
        <v>88</v>
      </c>
      <c r="D110" s="27" t="s">
        <v>200</v>
      </c>
      <c r="E110" s="27" t="s">
        <v>127</v>
      </c>
      <c r="F110" s="27" t="s">
        <v>154</v>
      </c>
      <c r="G110" s="27" t="s">
        <v>427</v>
      </c>
      <c r="H110" s="27" t="s">
        <v>133</v>
      </c>
      <c r="I110" s="38">
        <v>18.07</v>
      </c>
      <c r="J110" s="65">
        <f>IF(I110&lt;&gt;"",$J$5,"")</f>
        <v>3.5000000000000003E-2</v>
      </c>
      <c r="K110" s="38">
        <f>ROUND(IF(I110&lt;&gt;"",I110*(1+J110),I110),2)</f>
        <v>18.7</v>
      </c>
      <c r="L110" s="65">
        <f>IF(K110&lt;&gt;"",$L$5,"")</f>
        <v>3.5000000000000003E-2</v>
      </c>
      <c r="M110" s="388">
        <f>ROUND(IF(K110&lt;&gt;"",K110*(1+L110),K110),2)</f>
        <v>19.350000000000001</v>
      </c>
      <c r="N110" s="65">
        <f t="shared" si="54"/>
        <v>0.04</v>
      </c>
      <c r="O110" s="450">
        <v>19.89</v>
      </c>
      <c r="P110" s="388">
        <f t="shared" si="33"/>
        <v>21.48</v>
      </c>
      <c r="Q110" s="388">
        <f t="shared" si="34"/>
        <v>22.34</v>
      </c>
      <c r="R110" s="388">
        <f t="shared" ref="R110:R111" si="55">+Q110*(1+$R$4)</f>
        <v>23.233599999999999</v>
      </c>
      <c r="S110" s="389" t="s">
        <v>212</v>
      </c>
      <c r="T110" s="262">
        <f t="shared" si="42"/>
        <v>4.0037243947858459E-2</v>
      </c>
    </row>
    <row r="111" spans="2:20" ht="11.4" customHeight="1">
      <c r="B111" s="27" t="str">
        <f t="shared" si="52"/>
        <v>Self-DirectionFamily Supports WaiverNursing - Nurse Case Management and Delegation</v>
      </c>
      <c r="C111" s="27" t="s">
        <v>88</v>
      </c>
      <c r="D111" s="27" t="s">
        <v>199</v>
      </c>
      <c r="E111" s="27" t="s">
        <v>127</v>
      </c>
      <c r="F111" s="27" t="s">
        <v>154</v>
      </c>
      <c r="G111" s="27" t="s">
        <v>480</v>
      </c>
      <c r="H111" s="27" t="s">
        <v>133</v>
      </c>
      <c r="I111" s="38"/>
      <c r="J111" s="65"/>
      <c r="K111" s="38"/>
      <c r="L111" s="65"/>
      <c r="M111" s="388">
        <v>19.350000000000001</v>
      </c>
      <c r="N111" s="431">
        <f t="shared" si="54"/>
        <v>0.04</v>
      </c>
      <c r="O111" s="450">
        <v>19.89</v>
      </c>
      <c r="P111" s="388">
        <f t="shared" si="33"/>
        <v>21.48</v>
      </c>
      <c r="Q111" s="388">
        <f t="shared" si="34"/>
        <v>22.34</v>
      </c>
      <c r="R111" s="388">
        <f t="shared" si="55"/>
        <v>23.233599999999999</v>
      </c>
      <c r="S111" s="389"/>
      <c r="T111" s="262">
        <f t="shared" si="42"/>
        <v>4.0037243947858459E-2</v>
      </c>
    </row>
    <row r="112" spans="2:20" ht="11.4" customHeight="1">
      <c r="B112" s="27" t="str">
        <f t="shared" si="52"/>
        <v>Self-DirectionCommunity Pathways WaiverNursing - Nurse Consultation</v>
      </c>
      <c r="C112" s="27" t="s">
        <v>89</v>
      </c>
      <c r="D112" s="27" t="s">
        <v>298</v>
      </c>
      <c r="E112" s="27" t="s">
        <v>127</v>
      </c>
      <c r="F112" s="27" t="s">
        <v>154</v>
      </c>
      <c r="G112" s="27" t="s">
        <v>338</v>
      </c>
      <c r="H112" s="27" t="s">
        <v>133</v>
      </c>
      <c r="I112" s="38">
        <v>18.07</v>
      </c>
      <c r="J112" s="65">
        <f>IF(I112&lt;&gt;"",$J$5,"")</f>
        <v>3.5000000000000003E-2</v>
      </c>
      <c r="K112" s="38">
        <f>ROUND(IF(I112&lt;&gt;"",I112*(1+J112),I112),2)</f>
        <v>18.7</v>
      </c>
      <c r="L112" s="65">
        <f>IF(K112&lt;&gt;"",$L$5,"")</f>
        <v>3.5000000000000003E-2</v>
      </c>
      <c r="M112" s="388">
        <f>ROUND(IF(K112&lt;&gt;"",K112*(1+L112),K112),2)</f>
        <v>19.350000000000001</v>
      </c>
      <c r="N112" s="65">
        <f t="shared" si="54"/>
        <v>0.04</v>
      </c>
      <c r="O112" s="450">
        <v>19.89</v>
      </c>
      <c r="P112" s="388" t="str">
        <f t="shared" si="33"/>
        <v/>
      </c>
      <c r="Q112" s="388" t="str">
        <f t="shared" si="34"/>
        <v/>
      </c>
      <c r="R112" s="388"/>
      <c r="S112" s="389"/>
      <c r="T112" s="262" t="str">
        <f t="shared" si="42"/>
        <v/>
      </c>
    </row>
    <row r="113" spans="2:20" ht="11.4" customHeight="1">
      <c r="B113" s="18" t="str">
        <f t="shared" si="52"/>
        <v>Self-DirectionCommunity Supports WaiverNursing - Nurse Consultation</v>
      </c>
      <c r="C113" s="18" t="s">
        <v>89</v>
      </c>
      <c r="D113" s="18" t="s">
        <v>200</v>
      </c>
      <c r="E113" s="18" t="s">
        <v>127</v>
      </c>
      <c r="F113" s="18" t="s">
        <v>154</v>
      </c>
      <c r="G113" s="18" t="s">
        <v>423</v>
      </c>
      <c r="H113" s="18" t="s">
        <v>133</v>
      </c>
      <c r="I113" s="36">
        <v>18.07</v>
      </c>
      <c r="J113" s="96">
        <f>IF(I113&lt;&gt;"",$J$5,"")</f>
        <v>3.5000000000000003E-2</v>
      </c>
      <c r="K113" s="36">
        <f>ROUND(IF(I113&lt;&gt;"",I113*(1+J113),I113),2)</f>
        <v>18.7</v>
      </c>
      <c r="L113" s="96">
        <f>IF(K113&lt;&gt;"",$L$5,"")</f>
        <v>3.5000000000000003E-2</v>
      </c>
      <c r="M113" s="388">
        <f>ROUND(IF(K113&lt;&gt;"",K113*(1+L113),K113),2)</f>
        <v>19.350000000000001</v>
      </c>
      <c r="N113" s="96">
        <f t="shared" si="54"/>
        <v>0.04</v>
      </c>
      <c r="O113" s="450">
        <v>19.89</v>
      </c>
      <c r="P113" s="388" t="str">
        <f t="shared" si="33"/>
        <v/>
      </c>
      <c r="Q113" s="388" t="str">
        <f t="shared" si="34"/>
        <v/>
      </c>
      <c r="R113" s="388"/>
      <c r="S113" s="389" t="s">
        <v>212</v>
      </c>
      <c r="T113" s="262" t="str">
        <f t="shared" si="42"/>
        <v/>
      </c>
    </row>
    <row r="114" spans="2:20" ht="11.25" customHeight="1">
      <c r="B114" s="27" t="str">
        <f t="shared" si="52"/>
        <v>Self-DirectionFamily Supports WaiverNursing - Nurse Consultation</v>
      </c>
      <c r="C114" s="27" t="s">
        <v>89</v>
      </c>
      <c r="D114" s="27" t="s">
        <v>199</v>
      </c>
      <c r="E114" s="18" t="s">
        <v>127</v>
      </c>
      <c r="F114" s="27" t="s">
        <v>154</v>
      </c>
      <c r="G114" s="27" t="s">
        <v>478</v>
      </c>
      <c r="H114" s="27" t="s">
        <v>133</v>
      </c>
      <c r="I114" s="38"/>
      <c r="J114" s="65"/>
      <c r="K114" s="38"/>
      <c r="L114" s="65"/>
      <c r="M114" s="388">
        <v>19.350000000000001</v>
      </c>
      <c r="N114" s="431">
        <f t="shared" si="54"/>
        <v>0.04</v>
      </c>
      <c r="O114" s="450">
        <v>19.89</v>
      </c>
      <c r="P114" s="388" t="str">
        <f t="shared" si="33"/>
        <v/>
      </c>
      <c r="Q114" s="388" t="str">
        <f t="shared" si="34"/>
        <v/>
      </c>
      <c r="R114" s="388"/>
      <c r="S114" s="389"/>
      <c r="T114" s="262" t="str">
        <f t="shared" si="42"/>
        <v/>
      </c>
    </row>
    <row r="115" spans="2:20" ht="11.4" customHeight="1">
      <c r="B115" s="27" t="str">
        <f t="shared" si="52"/>
        <v>Self-DirectionCommunity Pathways WaiverNursing - Nurse Health Case Management</v>
      </c>
      <c r="C115" s="27" t="s">
        <v>90</v>
      </c>
      <c r="D115" s="27" t="s">
        <v>298</v>
      </c>
      <c r="E115" s="27" t="s">
        <v>127</v>
      </c>
      <c r="F115" s="27" t="s">
        <v>154</v>
      </c>
      <c r="G115" s="27" t="s">
        <v>340</v>
      </c>
      <c r="H115" s="27" t="s">
        <v>133</v>
      </c>
      <c r="I115" s="38">
        <v>18.07</v>
      </c>
      <c r="J115" s="65">
        <f t="shared" ref="J115:J120" si="56">IF(I115&lt;&gt;"",$J$5,"")</f>
        <v>3.5000000000000003E-2</v>
      </c>
      <c r="K115" s="38">
        <f t="shared" ref="K115:K120" si="57">ROUND(IF(I115&lt;&gt;"",I115*(1+J115),I115),2)</f>
        <v>18.7</v>
      </c>
      <c r="L115" s="65">
        <f t="shared" ref="L115:L120" si="58">IF(K115&lt;&gt;"",$L$5,"")</f>
        <v>3.5000000000000003E-2</v>
      </c>
      <c r="M115" s="388">
        <f t="shared" ref="M115:M120" si="59">ROUND(IF(K115&lt;&gt;"",K115*(1+L115),K115),2)</f>
        <v>19.350000000000001</v>
      </c>
      <c r="N115" s="65">
        <f t="shared" si="54"/>
        <v>0.04</v>
      </c>
      <c r="O115" s="450">
        <v>19.89</v>
      </c>
      <c r="P115" s="388" t="str">
        <f t="shared" si="33"/>
        <v/>
      </c>
      <c r="Q115" s="388" t="str">
        <f t="shared" si="34"/>
        <v/>
      </c>
      <c r="R115" s="388"/>
      <c r="S115" s="389"/>
      <c r="T115" s="262" t="str">
        <f t="shared" si="42"/>
        <v/>
      </c>
    </row>
    <row r="116" spans="2:20" ht="11.25" customHeight="1">
      <c r="B116" s="27" t="str">
        <f t="shared" si="52"/>
        <v>Self-DirectionCommunity Supports WaiverNursing - Nurse Health Case Management</v>
      </c>
      <c r="C116" s="27" t="s">
        <v>90</v>
      </c>
      <c r="D116" s="27" t="s">
        <v>200</v>
      </c>
      <c r="E116" s="27" t="s">
        <v>127</v>
      </c>
      <c r="F116" s="27" t="s">
        <v>154</v>
      </c>
      <c r="G116" s="27" t="s">
        <v>425</v>
      </c>
      <c r="H116" s="27" t="s">
        <v>133</v>
      </c>
      <c r="I116" s="38">
        <v>18.07</v>
      </c>
      <c r="J116" s="65">
        <f t="shared" si="56"/>
        <v>3.5000000000000003E-2</v>
      </c>
      <c r="K116" s="38">
        <f t="shared" si="57"/>
        <v>18.7</v>
      </c>
      <c r="L116" s="65">
        <f t="shared" si="58"/>
        <v>3.5000000000000003E-2</v>
      </c>
      <c r="M116" s="388">
        <f t="shared" si="59"/>
        <v>19.350000000000001</v>
      </c>
      <c r="N116" s="65">
        <f t="shared" si="54"/>
        <v>0.04</v>
      </c>
      <c r="O116" s="450">
        <v>19.89</v>
      </c>
      <c r="P116" s="388" t="str">
        <f t="shared" si="33"/>
        <v/>
      </c>
      <c r="Q116" s="388" t="str">
        <f t="shared" si="34"/>
        <v/>
      </c>
      <c r="R116" s="388"/>
      <c r="S116" s="389" t="s">
        <v>212</v>
      </c>
      <c r="T116" s="262" t="str">
        <f t="shared" si="42"/>
        <v/>
      </c>
    </row>
    <row r="117" spans="2:20" ht="11.4" customHeight="1">
      <c r="B117" s="18" t="str">
        <f t="shared" si="52"/>
        <v>TraditionalCommunity Pathways WaiverNursing - Nurse Health Case Management</v>
      </c>
      <c r="C117" s="18" t="s">
        <v>90</v>
      </c>
      <c r="D117" s="18" t="s">
        <v>298</v>
      </c>
      <c r="E117" s="18" t="s">
        <v>33</v>
      </c>
      <c r="F117" s="18" t="s">
        <v>154</v>
      </c>
      <c r="G117" s="18" t="s">
        <v>339</v>
      </c>
      <c r="H117" s="18" t="s">
        <v>133</v>
      </c>
      <c r="I117" s="36">
        <v>18.07</v>
      </c>
      <c r="J117" s="96">
        <f t="shared" si="56"/>
        <v>3.5000000000000003E-2</v>
      </c>
      <c r="K117" s="36">
        <f t="shared" si="57"/>
        <v>18.7</v>
      </c>
      <c r="L117" s="96">
        <f t="shared" si="58"/>
        <v>3.5000000000000003E-2</v>
      </c>
      <c r="M117" s="388">
        <f t="shared" si="59"/>
        <v>19.350000000000001</v>
      </c>
      <c r="N117" s="96">
        <f t="shared" si="54"/>
        <v>0.04</v>
      </c>
      <c r="O117" s="450">
        <v>19.89</v>
      </c>
      <c r="P117" s="388" t="str">
        <f t="shared" si="33"/>
        <v/>
      </c>
      <c r="Q117" s="388" t="str">
        <f t="shared" si="34"/>
        <v/>
      </c>
      <c r="R117" s="388"/>
      <c r="S117" s="389"/>
      <c r="T117" s="262" t="str">
        <f t="shared" si="42"/>
        <v/>
      </c>
    </row>
    <row r="118" spans="2:20" ht="11.4" customHeight="1">
      <c r="B118" s="18" t="str">
        <f t="shared" si="52"/>
        <v>TraditionalCommunity Supports WaiverNursing - Nurse Health Case Management</v>
      </c>
      <c r="C118" s="18" t="s">
        <v>90</v>
      </c>
      <c r="D118" s="18" t="s">
        <v>200</v>
      </c>
      <c r="E118" s="18" t="s">
        <v>33</v>
      </c>
      <c r="F118" s="18" t="s">
        <v>154</v>
      </c>
      <c r="G118" s="18" t="s">
        <v>424</v>
      </c>
      <c r="H118" s="18" t="s">
        <v>133</v>
      </c>
      <c r="I118" s="36">
        <v>18.07</v>
      </c>
      <c r="J118" s="96">
        <f t="shared" si="56"/>
        <v>3.5000000000000003E-2</v>
      </c>
      <c r="K118" s="36">
        <f t="shared" si="57"/>
        <v>18.7</v>
      </c>
      <c r="L118" s="96">
        <f t="shared" si="58"/>
        <v>3.5000000000000003E-2</v>
      </c>
      <c r="M118" s="388">
        <f t="shared" si="59"/>
        <v>19.350000000000001</v>
      </c>
      <c r="N118" s="96">
        <f t="shared" si="54"/>
        <v>0.04</v>
      </c>
      <c r="O118" s="450">
        <v>19.89</v>
      </c>
      <c r="P118" s="388" t="str">
        <f t="shared" si="33"/>
        <v/>
      </c>
      <c r="Q118" s="388" t="str">
        <f t="shared" si="34"/>
        <v/>
      </c>
      <c r="R118" s="388"/>
      <c r="S118" s="389" t="s">
        <v>212</v>
      </c>
      <c r="T118" s="262" t="str">
        <f t="shared" si="42"/>
        <v/>
      </c>
    </row>
    <row r="119" spans="2:20" ht="11.4" customHeight="1">
      <c r="B119" s="18" t="str">
        <f t="shared" si="52"/>
        <v>TraditionalCommunity Pathways WaiverNursing Support Services</v>
      </c>
      <c r="C119" s="18" t="s">
        <v>509</v>
      </c>
      <c r="D119" s="18" t="s">
        <v>298</v>
      </c>
      <c r="E119" s="18" t="s">
        <v>33</v>
      </c>
      <c r="F119" s="18" t="s">
        <v>154</v>
      </c>
      <c r="G119" s="18" t="s">
        <v>336</v>
      </c>
      <c r="H119" s="18" t="s">
        <v>133</v>
      </c>
      <c r="I119" s="36">
        <v>18.07</v>
      </c>
      <c r="J119" s="96">
        <f t="shared" si="56"/>
        <v>3.5000000000000003E-2</v>
      </c>
      <c r="K119" s="36">
        <f t="shared" si="57"/>
        <v>18.7</v>
      </c>
      <c r="L119" s="96">
        <f t="shared" si="58"/>
        <v>3.5000000000000003E-2</v>
      </c>
      <c r="M119" s="388">
        <f t="shared" si="59"/>
        <v>19.350000000000001</v>
      </c>
      <c r="N119" s="96">
        <f t="shared" si="54"/>
        <v>0.04</v>
      </c>
      <c r="O119" s="450">
        <v>19.89</v>
      </c>
      <c r="P119" s="388">
        <f t="shared" si="33"/>
        <v>21.48</v>
      </c>
      <c r="Q119" s="388">
        <f t="shared" si="34"/>
        <v>22.34</v>
      </c>
      <c r="R119" s="388">
        <f t="shared" ref="R119:R121" si="60">+Q119*(1+$R$4)</f>
        <v>23.233599999999999</v>
      </c>
      <c r="S119" s="389"/>
      <c r="T119" s="262">
        <f t="shared" si="42"/>
        <v>4.0037243947858459E-2</v>
      </c>
    </row>
    <row r="120" spans="2:20" ht="11.4" customHeight="1">
      <c r="B120" s="18" t="str">
        <f t="shared" si="52"/>
        <v>TraditionalCommunity Supports WaiverNursing Support Services</v>
      </c>
      <c r="C120" s="18" t="s">
        <v>509</v>
      </c>
      <c r="D120" s="18" t="s">
        <v>200</v>
      </c>
      <c r="E120" s="18" t="s">
        <v>33</v>
      </c>
      <c r="F120" s="18" t="s">
        <v>154</v>
      </c>
      <c r="G120" s="18" t="s">
        <v>426</v>
      </c>
      <c r="H120" s="18" t="s">
        <v>133</v>
      </c>
      <c r="I120" s="36">
        <v>18.07</v>
      </c>
      <c r="J120" s="96">
        <f t="shared" si="56"/>
        <v>3.5000000000000003E-2</v>
      </c>
      <c r="K120" s="36">
        <f t="shared" si="57"/>
        <v>18.7</v>
      </c>
      <c r="L120" s="96">
        <f t="shared" si="58"/>
        <v>3.5000000000000003E-2</v>
      </c>
      <c r="M120" s="388">
        <f t="shared" si="59"/>
        <v>19.350000000000001</v>
      </c>
      <c r="N120" s="96">
        <f t="shared" si="54"/>
        <v>0.04</v>
      </c>
      <c r="O120" s="450">
        <v>19.89</v>
      </c>
      <c r="P120" s="388">
        <f t="shared" si="33"/>
        <v>21.48</v>
      </c>
      <c r="Q120" s="388">
        <f t="shared" si="34"/>
        <v>22.34</v>
      </c>
      <c r="R120" s="388">
        <f t="shared" si="60"/>
        <v>23.233599999999999</v>
      </c>
      <c r="S120" s="389" t="s">
        <v>212</v>
      </c>
      <c r="T120" s="262">
        <f t="shared" si="42"/>
        <v>4.0037243947858459E-2</v>
      </c>
    </row>
    <row r="121" spans="2:20" ht="11.4" customHeight="1">
      <c r="B121" s="27" t="str">
        <f t="shared" si="52"/>
        <v>TraditionalFamily Supports WaiverNursing Support Services</v>
      </c>
      <c r="C121" s="27" t="s">
        <v>509</v>
      </c>
      <c r="D121" s="27" t="s">
        <v>199</v>
      </c>
      <c r="E121" s="27" t="s">
        <v>33</v>
      </c>
      <c r="F121" s="27" t="s">
        <v>154</v>
      </c>
      <c r="G121" s="27" t="s">
        <v>479</v>
      </c>
      <c r="H121" s="27" t="s">
        <v>133</v>
      </c>
      <c r="I121" s="38"/>
      <c r="J121" s="65"/>
      <c r="K121" s="38"/>
      <c r="L121" s="65"/>
      <c r="M121" s="388">
        <v>19.350000000000001</v>
      </c>
      <c r="N121" s="430">
        <f t="shared" si="54"/>
        <v>0.04</v>
      </c>
      <c r="O121" s="450">
        <v>19.89</v>
      </c>
      <c r="P121" s="388">
        <f t="shared" si="33"/>
        <v>21.48</v>
      </c>
      <c r="Q121" s="388">
        <f t="shared" si="34"/>
        <v>22.34</v>
      </c>
      <c r="R121" s="388">
        <f t="shared" si="60"/>
        <v>23.233599999999999</v>
      </c>
      <c r="S121" s="389"/>
      <c r="T121" s="262">
        <f t="shared" si="42"/>
        <v>4.0037243947858459E-2</v>
      </c>
    </row>
    <row r="122" spans="2:20" ht="11.4" customHeight="1">
      <c r="B122" s="27" t="str">
        <f t="shared" si="52"/>
        <v>TraditionalCommunity Pathways WaiverOther (State-Only Funded)</v>
      </c>
      <c r="C122" s="27" t="s">
        <v>390</v>
      </c>
      <c r="D122" s="27" t="s">
        <v>298</v>
      </c>
      <c r="E122" s="27" t="s">
        <v>33</v>
      </c>
      <c r="F122" s="27" t="s">
        <v>154</v>
      </c>
      <c r="G122" s="27" t="s">
        <v>91</v>
      </c>
      <c r="H122" s="27" t="s">
        <v>91</v>
      </c>
      <c r="I122" s="38"/>
      <c r="J122" s="96" t="str">
        <f t="shared" ref="J122:J167" si="61">IF(I122&lt;&gt;"",$J$5,"")</f>
        <v/>
      </c>
      <c r="K122" s="38"/>
      <c r="L122" s="96" t="str">
        <f t="shared" ref="L122:L167" si="62">IF(K122&lt;&gt;"",$L$5,"")</f>
        <v/>
      </c>
      <c r="M122" s="388">
        <f>ROUND(IF(K122&lt;&gt;"",K122*(1+L122),K122),2)</f>
        <v>0</v>
      </c>
      <c r="N122" s="96">
        <f t="shared" si="54"/>
        <v>0.04</v>
      </c>
      <c r="O122" s="388">
        <f>ROUND(IF(M122&lt;&gt;"",M122*(1+N122),M122),2)</f>
        <v>0</v>
      </c>
      <c r="P122" s="388" t="str">
        <f t="shared" si="33"/>
        <v/>
      </c>
      <c r="Q122" s="388" t="str">
        <f t="shared" si="34"/>
        <v/>
      </c>
      <c r="R122" s="388"/>
      <c r="S122" s="434">
        <v>10000000</v>
      </c>
      <c r="T122" s="262" t="str">
        <f t="shared" si="42"/>
        <v/>
      </c>
    </row>
    <row r="123" spans="2:20" ht="11.4" customHeight="1">
      <c r="B123" s="27" t="str">
        <f t="shared" si="52"/>
        <v>Self-DirectionCommunity Pathways WaiverParticipant Ed, Training, and Advocacy</v>
      </c>
      <c r="C123" s="27" t="s">
        <v>92</v>
      </c>
      <c r="D123" s="27" t="s">
        <v>298</v>
      </c>
      <c r="E123" s="27" t="s">
        <v>127</v>
      </c>
      <c r="F123" s="27" t="s">
        <v>154</v>
      </c>
      <c r="G123" s="27" t="s">
        <v>342</v>
      </c>
      <c r="H123" s="27" t="s">
        <v>142</v>
      </c>
      <c r="I123" s="38" t="s">
        <v>212</v>
      </c>
      <c r="J123" s="65" t="str">
        <f t="shared" si="61"/>
        <v/>
      </c>
      <c r="K123" s="38" t="str">
        <f t="shared" ref="K123:K128" si="63">IF(I123&lt;&gt;"",I123*(1+J123),I123)</f>
        <v/>
      </c>
      <c r="L123" s="65" t="str">
        <f t="shared" si="62"/>
        <v/>
      </c>
      <c r="M123" s="388" t="str">
        <f t="shared" ref="M123:M128" si="64">IF(K123&lt;&gt;"",K123*(1+L123),K123)</f>
        <v/>
      </c>
      <c r="N123" s="65" t="str">
        <f t="shared" ref="N123:N128" si="65">IF(M123&lt;&gt;"",$L$5,"")</f>
        <v/>
      </c>
      <c r="O123" s="388" t="str">
        <f t="shared" ref="O123:O128" si="66">IF(M123&lt;&gt;"",M123*(1+N123),M123)</f>
        <v/>
      </c>
      <c r="P123" s="388" t="str">
        <f t="shared" si="33"/>
        <v/>
      </c>
      <c r="Q123" s="388" t="str">
        <f t="shared" si="34"/>
        <v/>
      </c>
      <c r="R123" s="388"/>
      <c r="S123" s="389">
        <v>1075</v>
      </c>
      <c r="T123" s="262" t="str">
        <f t="shared" si="42"/>
        <v/>
      </c>
    </row>
    <row r="124" spans="2:20" ht="11.4" customHeight="1">
      <c r="B124" s="18" t="str">
        <f t="shared" si="52"/>
        <v>Self-DirectionCommunity Supports WaiverParticipant Ed, Training, and Advocacy</v>
      </c>
      <c r="C124" s="18" t="s">
        <v>92</v>
      </c>
      <c r="D124" s="18" t="s">
        <v>200</v>
      </c>
      <c r="E124" s="18" t="s">
        <v>127</v>
      </c>
      <c r="F124" s="18" t="s">
        <v>154</v>
      </c>
      <c r="G124" s="18" t="s">
        <v>94</v>
      </c>
      <c r="H124" s="18" t="s">
        <v>142</v>
      </c>
      <c r="I124" s="36" t="s">
        <v>212</v>
      </c>
      <c r="J124" s="96" t="str">
        <f t="shared" si="61"/>
        <v/>
      </c>
      <c r="K124" s="36" t="str">
        <f t="shared" si="63"/>
        <v/>
      </c>
      <c r="L124" s="96" t="str">
        <f t="shared" si="62"/>
        <v/>
      </c>
      <c r="M124" s="388" t="str">
        <f t="shared" si="64"/>
        <v/>
      </c>
      <c r="N124" s="96" t="str">
        <f t="shared" si="65"/>
        <v/>
      </c>
      <c r="O124" s="388" t="str">
        <f t="shared" si="66"/>
        <v/>
      </c>
      <c r="P124" s="388" t="str">
        <f t="shared" si="33"/>
        <v/>
      </c>
      <c r="Q124" s="388" t="str">
        <f t="shared" si="34"/>
        <v/>
      </c>
      <c r="R124" s="388"/>
      <c r="S124" s="389">
        <v>25000</v>
      </c>
      <c r="T124" s="262" t="str">
        <f t="shared" si="42"/>
        <v/>
      </c>
    </row>
    <row r="125" spans="2:20" ht="11.4" customHeight="1">
      <c r="B125" s="18" t="str">
        <f t="shared" si="52"/>
        <v>Self-DirectionFamily Supports WaiverParticipant Ed, Training, and Advocacy</v>
      </c>
      <c r="C125" s="18" t="s">
        <v>92</v>
      </c>
      <c r="D125" s="18" t="s">
        <v>199</v>
      </c>
      <c r="E125" s="18" t="s">
        <v>127</v>
      </c>
      <c r="F125" s="18" t="s">
        <v>154</v>
      </c>
      <c r="G125" s="18" t="s">
        <v>96</v>
      </c>
      <c r="H125" s="18" t="s">
        <v>142</v>
      </c>
      <c r="I125" s="36" t="s">
        <v>212</v>
      </c>
      <c r="J125" s="96" t="str">
        <f t="shared" si="61"/>
        <v/>
      </c>
      <c r="K125" s="36" t="str">
        <f t="shared" si="63"/>
        <v/>
      </c>
      <c r="L125" s="96" t="str">
        <f t="shared" si="62"/>
        <v/>
      </c>
      <c r="M125" s="388" t="str">
        <f t="shared" si="64"/>
        <v/>
      </c>
      <c r="N125" s="96" t="str">
        <f t="shared" si="65"/>
        <v/>
      </c>
      <c r="O125" s="388" t="str">
        <f t="shared" si="66"/>
        <v/>
      </c>
      <c r="P125" s="388" t="str">
        <f t="shared" si="33"/>
        <v/>
      </c>
      <c r="Q125" s="388" t="str">
        <f t="shared" si="34"/>
        <v/>
      </c>
      <c r="R125" s="388"/>
      <c r="S125" s="389" t="s">
        <v>496</v>
      </c>
      <c r="T125" s="262" t="str">
        <f t="shared" si="42"/>
        <v/>
      </c>
    </row>
    <row r="126" spans="2:20" ht="11.4" customHeight="1">
      <c r="B126" s="18" t="str">
        <f t="shared" si="52"/>
        <v>TraditionalCommunity Pathways WaiverParticipant Ed, Training, and Advocacy</v>
      </c>
      <c r="C126" s="18" t="s">
        <v>92</v>
      </c>
      <c r="D126" s="18" t="s">
        <v>298</v>
      </c>
      <c r="E126" s="18" t="s">
        <v>33</v>
      </c>
      <c r="F126" s="18" t="s">
        <v>154</v>
      </c>
      <c r="G126" s="18" t="s">
        <v>341</v>
      </c>
      <c r="H126" s="18" t="s">
        <v>142</v>
      </c>
      <c r="I126" s="36" t="s">
        <v>212</v>
      </c>
      <c r="J126" s="96" t="str">
        <f t="shared" si="61"/>
        <v/>
      </c>
      <c r="K126" s="36" t="str">
        <f t="shared" si="63"/>
        <v/>
      </c>
      <c r="L126" s="96" t="str">
        <f t="shared" si="62"/>
        <v/>
      </c>
      <c r="M126" s="388" t="str">
        <f t="shared" si="64"/>
        <v/>
      </c>
      <c r="N126" s="96" t="str">
        <f t="shared" si="65"/>
        <v/>
      </c>
      <c r="O126" s="388" t="str">
        <f t="shared" si="66"/>
        <v/>
      </c>
      <c r="P126" s="388" t="str">
        <f t="shared" si="33"/>
        <v/>
      </c>
      <c r="Q126" s="388" t="str">
        <f t="shared" si="34"/>
        <v/>
      </c>
      <c r="R126" s="388"/>
      <c r="S126" s="389">
        <v>1075</v>
      </c>
      <c r="T126" s="262" t="str">
        <f t="shared" si="42"/>
        <v/>
      </c>
    </row>
    <row r="127" spans="2:20" ht="11.4" customHeight="1">
      <c r="B127" s="27" t="str">
        <f t="shared" si="52"/>
        <v>TraditionalCommunity Supports WaiverParticipant Ed, Training, and Advocacy</v>
      </c>
      <c r="C127" s="27" t="s">
        <v>92</v>
      </c>
      <c r="D127" s="27" t="s">
        <v>200</v>
      </c>
      <c r="E127" s="27" t="s">
        <v>33</v>
      </c>
      <c r="F127" s="27" t="s">
        <v>154</v>
      </c>
      <c r="G127" s="27" t="s">
        <v>93</v>
      </c>
      <c r="H127" s="27" t="s">
        <v>142</v>
      </c>
      <c r="I127" s="38" t="s">
        <v>212</v>
      </c>
      <c r="J127" s="65" t="str">
        <f t="shared" si="61"/>
        <v/>
      </c>
      <c r="K127" s="38" t="str">
        <f t="shared" si="63"/>
        <v/>
      </c>
      <c r="L127" s="65" t="str">
        <f t="shared" si="62"/>
        <v/>
      </c>
      <c r="M127" s="388" t="str">
        <f t="shared" si="64"/>
        <v/>
      </c>
      <c r="N127" s="65" t="str">
        <f t="shared" si="65"/>
        <v/>
      </c>
      <c r="O127" s="388" t="str">
        <f t="shared" si="66"/>
        <v/>
      </c>
      <c r="P127" s="388" t="str">
        <f t="shared" si="33"/>
        <v/>
      </c>
      <c r="Q127" s="388" t="str">
        <f t="shared" si="34"/>
        <v/>
      </c>
      <c r="R127" s="388"/>
      <c r="S127" s="389">
        <v>25000</v>
      </c>
      <c r="T127" s="262" t="str">
        <f t="shared" si="42"/>
        <v/>
      </c>
    </row>
    <row r="128" spans="2:20" ht="11.4" customHeight="1">
      <c r="B128" s="18" t="str">
        <f t="shared" si="52"/>
        <v>TraditionalFamily Supports WaiverParticipant Ed, Training, and Advocacy</v>
      </c>
      <c r="C128" s="18" t="s">
        <v>92</v>
      </c>
      <c r="D128" s="18" t="s">
        <v>199</v>
      </c>
      <c r="E128" s="18" t="s">
        <v>33</v>
      </c>
      <c r="F128" s="18" t="s">
        <v>154</v>
      </c>
      <c r="G128" s="18" t="s">
        <v>95</v>
      </c>
      <c r="H128" s="18" t="s">
        <v>142</v>
      </c>
      <c r="I128" s="36" t="s">
        <v>212</v>
      </c>
      <c r="J128" s="96" t="str">
        <f t="shared" si="61"/>
        <v/>
      </c>
      <c r="K128" s="36" t="str">
        <f t="shared" si="63"/>
        <v/>
      </c>
      <c r="L128" s="96" t="str">
        <f t="shared" si="62"/>
        <v/>
      </c>
      <c r="M128" s="388" t="str">
        <f t="shared" si="64"/>
        <v/>
      </c>
      <c r="N128" s="96" t="str">
        <f t="shared" si="65"/>
        <v/>
      </c>
      <c r="O128" s="388" t="str">
        <f t="shared" si="66"/>
        <v/>
      </c>
      <c r="P128" s="388" t="str">
        <f t="shared" si="33"/>
        <v/>
      </c>
      <c r="Q128" s="388" t="str">
        <f t="shared" si="34"/>
        <v/>
      </c>
      <c r="R128" s="388"/>
      <c r="S128" s="389">
        <v>12000</v>
      </c>
      <c r="T128" s="262" t="str">
        <f t="shared" si="42"/>
        <v/>
      </c>
    </row>
    <row r="129" spans="2:20" ht="11.4" customHeight="1">
      <c r="B129" s="27" t="str">
        <f t="shared" si="52"/>
        <v>Self-DirectionCommunity Pathways WaiverPersonal Supports</v>
      </c>
      <c r="C129" s="27" t="s">
        <v>35</v>
      </c>
      <c r="D129" s="27" t="s">
        <v>298</v>
      </c>
      <c r="E129" s="27" t="s">
        <v>127</v>
      </c>
      <c r="F129" s="27" t="s">
        <v>35</v>
      </c>
      <c r="G129" s="27" t="s">
        <v>344</v>
      </c>
      <c r="H129" s="27" t="s">
        <v>133</v>
      </c>
      <c r="I129"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29" s="65" t="str">
        <f t="shared" si="61"/>
        <v/>
      </c>
      <c r="K129"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29" s="65" t="str">
        <f t="shared" si="62"/>
        <v/>
      </c>
      <c r="M129"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29" s="65" t="str">
        <f t="shared" ref="N129:N134" si="67">IF(M129&lt;&gt;"",$N$5,"")</f>
        <v/>
      </c>
      <c r="O129"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29" s="388" t="str">
        <f t="shared" si="33"/>
        <v/>
      </c>
      <c r="Q129" s="388" t="str">
        <f t="shared" si="34"/>
        <v/>
      </c>
      <c r="R129" s="388"/>
      <c r="S129" s="39"/>
      <c r="T129" s="262" t="str">
        <f t="shared" si="42"/>
        <v/>
      </c>
    </row>
    <row r="130" spans="2:20" ht="11.4" customHeight="1">
      <c r="B130" s="27" t="str">
        <f t="shared" si="52"/>
        <v>Self-DirectionCommunity Supports WaiverPersonal Supports</v>
      </c>
      <c r="C130" s="27" t="s">
        <v>35</v>
      </c>
      <c r="D130" s="27" t="s">
        <v>200</v>
      </c>
      <c r="E130" s="27" t="s">
        <v>127</v>
      </c>
      <c r="F130" s="27" t="s">
        <v>35</v>
      </c>
      <c r="G130" s="27" t="s">
        <v>98</v>
      </c>
      <c r="H130" s="27" t="s">
        <v>133</v>
      </c>
      <c r="I130"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30" s="65" t="str">
        <f t="shared" si="61"/>
        <v/>
      </c>
      <c r="K130"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30" s="65" t="str">
        <f t="shared" si="62"/>
        <v/>
      </c>
      <c r="M130"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30" s="65" t="str">
        <f t="shared" si="67"/>
        <v/>
      </c>
      <c r="O130"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30" s="388">
        <f t="shared" si="33"/>
        <v>10.34</v>
      </c>
      <c r="Q130" s="388">
        <f t="shared" si="34"/>
        <v>0</v>
      </c>
      <c r="R130" s="388">
        <f t="shared" ref="R130:R131" si="68">+Q130*(1+$R$4)</f>
        <v>0</v>
      </c>
      <c r="S130" s="39" t="s">
        <v>212</v>
      </c>
      <c r="T130" s="262">
        <f t="shared" si="42"/>
        <v>-1</v>
      </c>
    </row>
    <row r="131" spans="2:20" ht="11.4" customHeight="1">
      <c r="B131" s="27" t="str">
        <f t="shared" si="52"/>
        <v>Self-DirectionFamily Supports WaiverPersonal Supports</v>
      </c>
      <c r="C131" s="27" t="s">
        <v>35</v>
      </c>
      <c r="D131" s="27" t="s">
        <v>199</v>
      </c>
      <c r="E131" s="27" t="s">
        <v>127</v>
      </c>
      <c r="F131" s="27" t="s">
        <v>35</v>
      </c>
      <c r="G131" s="27" t="s">
        <v>100</v>
      </c>
      <c r="H131" s="27" t="s">
        <v>133</v>
      </c>
      <c r="I131"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31" s="65" t="str">
        <f t="shared" si="61"/>
        <v/>
      </c>
      <c r="K131"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31" s="65" t="str">
        <f t="shared" si="62"/>
        <v/>
      </c>
      <c r="M131"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31" s="65" t="str">
        <f t="shared" si="67"/>
        <v/>
      </c>
      <c r="O131"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31" s="388">
        <f t="shared" si="33"/>
        <v>10.34</v>
      </c>
      <c r="Q131" s="388">
        <f t="shared" si="34"/>
        <v>0</v>
      </c>
      <c r="R131" s="388">
        <f t="shared" si="68"/>
        <v>0</v>
      </c>
      <c r="S131" s="39" t="s">
        <v>212</v>
      </c>
      <c r="T131" s="262">
        <f t="shared" si="42"/>
        <v>-1</v>
      </c>
    </row>
    <row r="132" spans="2:20" ht="11.4" customHeight="1">
      <c r="B132" s="18" t="str">
        <f t="shared" si="52"/>
        <v>TraditionalCommunity Pathways WaiverPersonal Supports</v>
      </c>
      <c r="C132" s="18" t="s">
        <v>35</v>
      </c>
      <c r="D132" s="18" t="s">
        <v>298</v>
      </c>
      <c r="E132" s="18" t="s">
        <v>33</v>
      </c>
      <c r="F132" s="18" t="s">
        <v>35</v>
      </c>
      <c r="G132" s="18" t="s">
        <v>343</v>
      </c>
      <c r="H132" s="18" t="s">
        <v>133</v>
      </c>
      <c r="I132"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32" s="96" t="str">
        <f t="shared" si="61"/>
        <v/>
      </c>
      <c r="K132"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32" s="96" t="str">
        <f t="shared" si="62"/>
        <v/>
      </c>
      <c r="M132"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32" s="96" t="str">
        <f t="shared" si="67"/>
        <v/>
      </c>
      <c r="O132"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32" s="388" t="str">
        <f t="shared" si="33"/>
        <v/>
      </c>
      <c r="Q132" s="388" t="str">
        <f t="shared" si="34"/>
        <v/>
      </c>
      <c r="R132" s="388"/>
      <c r="S132" s="37"/>
      <c r="T132" s="262" t="str">
        <f t="shared" si="42"/>
        <v/>
      </c>
    </row>
    <row r="133" spans="2:20" ht="11.4" customHeight="1">
      <c r="B133" s="18" t="str">
        <f t="shared" si="52"/>
        <v>TraditionalCommunity Supports WaiverPersonal Supports</v>
      </c>
      <c r="C133" s="18" t="s">
        <v>35</v>
      </c>
      <c r="D133" s="18" t="s">
        <v>200</v>
      </c>
      <c r="E133" s="18" t="s">
        <v>33</v>
      </c>
      <c r="F133" s="18" t="s">
        <v>35</v>
      </c>
      <c r="G133" s="18" t="s">
        <v>97</v>
      </c>
      <c r="H133" s="18" t="s">
        <v>133</v>
      </c>
      <c r="I133"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33" s="96" t="str">
        <f t="shared" si="61"/>
        <v/>
      </c>
      <c r="K133"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33" s="96" t="str">
        <f t="shared" si="62"/>
        <v/>
      </c>
      <c r="M133"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33" s="96" t="str">
        <f t="shared" si="67"/>
        <v/>
      </c>
      <c r="O133"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33" s="388" t="str">
        <f t="shared" si="33"/>
        <v/>
      </c>
      <c r="Q133" s="388" t="str">
        <f t="shared" si="34"/>
        <v/>
      </c>
      <c r="R133" s="388"/>
      <c r="S133" s="37" t="s">
        <v>212</v>
      </c>
      <c r="T133" s="262" t="str">
        <f t="shared" si="42"/>
        <v/>
      </c>
    </row>
    <row r="134" spans="2:20" ht="11.4" customHeight="1">
      <c r="B134" s="27" t="str">
        <f t="shared" si="52"/>
        <v>TraditionalFamily Supports WaiverPersonal Supports</v>
      </c>
      <c r="C134" s="27" t="s">
        <v>35</v>
      </c>
      <c r="D134" s="27" t="s">
        <v>199</v>
      </c>
      <c r="E134" s="27" t="s">
        <v>33</v>
      </c>
      <c r="F134" s="27" t="s">
        <v>35</v>
      </c>
      <c r="G134" s="27" t="s">
        <v>99</v>
      </c>
      <c r="H134" s="27" t="s">
        <v>133</v>
      </c>
      <c r="I134" s="92" t="str">
        <f>IF(ISERROR(IF(Budget!$AQ$14&gt;82,ROUND((ROUND(VLOOKUP(CONCATENATE('Add-On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Tool'!#REF!,FALSE)))),"",IF(Budget!$AQ$14&gt;82,ROUND((ROUND(VLOOKUP(CONCATENATE('Add-On Tool'!#REF!,Budget!$AQ$11),Budget!$BB$4:$BJ$58,'Add-On Tool'!#REF!,FALSE)*82*ROUND((Budget!$G$30-Budget!$F$30+1)/7,3),2)+ROUND(VLOOKUP(CONCATENATE('Add-On Tool'!#REF!,Budget!$AQ$12),Budget!$BB$4:$BJ$58,'Add-On Tool'!#REF!,FALSE)*Budget!$AQ$15*ROUND((Budget!$G$30-Budget!$F$30+1)/7,3),2))/'Add-On Tool'!#REF!,2),(VLOOKUP(CONCATENATE('Add-On Tool'!#REF!,Budget!$AQ$12),Budget!$BB$4:$BJ$58,'Add-On Tool'!#REF!,FALSE))))</f>
        <v/>
      </c>
      <c r="J134" s="65" t="str">
        <f t="shared" si="61"/>
        <v/>
      </c>
      <c r="K134" s="92" t="str">
        <f>IF(ISERROR(IF(Budget!$AQ$14&gt;82,ROUND((ROUND(VLOOKUP(CONCATENATE('Add-On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Tool'!#REF!,FALSE)))),"",IF(Budget!$AQ$14&gt;82,ROUND((ROUND(VLOOKUP(CONCATENATE('Add-On Tool'!#REF!,Budget!$AQ$11),Budget!$BL$4:$BT$58,'Add-On Tool'!#REF!,FALSE)*82*ROUND((Budget!$G$30-Budget!$F$30+1)/7,3),2)+ROUND(VLOOKUP(CONCATENATE('Add-On Tool'!#REF!,Budget!$AQ$12),Budget!$BL$4:$BT$58,'Add-On Tool'!#REF!,FALSE)*Budget!$AQ$15*ROUND((Budget!$G$30-Budget!$F$30+1)/7,3),2))/'Add-On Tool'!#REF!,2),(VLOOKUP(CONCATENATE('Add-On Tool'!#REF!,Budget!$AQ$12),Budget!$BL$4:$BT$58,'Add-On Tool'!#REF!,FALSE))))</f>
        <v/>
      </c>
      <c r="L134" s="65" t="str">
        <f t="shared" si="62"/>
        <v/>
      </c>
      <c r="M134"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N134" s="65" t="str">
        <f t="shared" si="67"/>
        <v/>
      </c>
      <c r="O134" s="92" t="str">
        <f>IF(ISERROR(IF(Budget!$AQ$14&gt;82,ROUND((ROUND(VLOOKUP(CONCATENATE('Add-On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Tool'!#REF!,FALSE)))),"",IF(Budget!$AQ$14&gt;82,ROUND((ROUND(VLOOKUP(CONCATENATE('Add-On Tool'!#REF!,Budget!$AQ$11),Budget!$BV$4:$CD$58,'Add-On Tool'!#REF!,FALSE)*82*ROUND((Budget!$G$30-Budget!$F$30+1)/7,3),2)+ROUND(VLOOKUP(CONCATENATE('Add-On Tool'!#REF!,Budget!$AQ$12),Budget!$BV$4:$CD$58,'Add-On Tool'!#REF!,FALSE)*Budget!$AQ$15*ROUND((Budget!$G$30-Budget!$F$30+1)/7,3),2))/'Add-On Tool'!#REF!,2),(VLOOKUP(CONCATENATE('Add-On Tool'!#REF!,Budget!$AQ$12),Budget!$BV$4:$CD$58,'Add-On Tool'!#REF!,FALSE))))</f>
        <v/>
      </c>
      <c r="P134" s="388" t="str">
        <f t="shared" si="33"/>
        <v/>
      </c>
      <c r="Q134" s="388" t="str">
        <f t="shared" si="34"/>
        <v/>
      </c>
      <c r="R134" s="388"/>
      <c r="S134" s="39" t="s">
        <v>212</v>
      </c>
      <c r="T134" s="262" t="str">
        <f t="shared" si="42"/>
        <v/>
      </c>
    </row>
    <row r="135" spans="2:20" ht="11.4" customHeight="1">
      <c r="B135" s="27" t="str">
        <f t="shared" si="52"/>
        <v>Self-DirectionCommunity Pathways WaiverRemote Support Services</v>
      </c>
      <c r="C135" s="18" t="s">
        <v>406</v>
      </c>
      <c r="D135" s="27" t="s">
        <v>298</v>
      </c>
      <c r="E135" s="27" t="s">
        <v>127</v>
      </c>
      <c r="F135" s="27" t="s">
        <v>154</v>
      </c>
      <c r="G135" s="27" t="s">
        <v>346</v>
      </c>
      <c r="H135" s="27" t="s">
        <v>142</v>
      </c>
      <c r="I135" s="38" t="s">
        <v>212</v>
      </c>
      <c r="J135" s="65" t="str">
        <f t="shared" si="61"/>
        <v/>
      </c>
      <c r="K135" s="38" t="str">
        <f>IF(I135&lt;&gt;"",I135*(1+J135),I135)</f>
        <v/>
      </c>
      <c r="L135" s="65" t="str">
        <f t="shared" si="62"/>
        <v/>
      </c>
      <c r="M135" s="388" t="str">
        <f>IF(K135&lt;&gt;"",K135*(1+L135),K135)</f>
        <v/>
      </c>
      <c r="N135" s="65" t="str">
        <f>IF(M135&lt;&gt;"",$L$5,"")</f>
        <v/>
      </c>
      <c r="O135" s="388" t="str">
        <f>IF(M135&lt;&gt;"",M135*(1+N135),M135)</f>
        <v/>
      </c>
      <c r="P135" s="388" t="str">
        <f t="shared" si="33"/>
        <v/>
      </c>
      <c r="Q135" s="388" t="str">
        <f t="shared" si="34"/>
        <v/>
      </c>
      <c r="R135" s="388"/>
      <c r="S135" s="434">
        <v>10000000</v>
      </c>
      <c r="T135" s="262" t="str">
        <f t="shared" si="42"/>
        <v/>
      </c>
    </row>
    <row r="136" spans="2:20" ht="11.4" customHeight="1">
      <c r="B136" s="18" t="str">
        <f t="shared" si="52"/>
        <v>TraditionalCommunity Pathways WaiverRemote Support Services</v>
      </c>
      <c r="C136" s="18" t="s">
        <v>406</v>
      </c>
      <c r="D136" s="18" t="s">
        <v>298</v>
      </c>
      <c r="E136" s="18" t="s">
        <v>33</v>
      </c>
      <c r="F136" s="18" t="s">
        <v>154</v>
      </c>
      <c r="G136" s="18" t="s">
        <v>345</v>
      </c>
      <c r="H136" s="18" t="s">
        <v>142</v>
      </c>
      <c r="I136" s="36" t="s">
        <v>212</v>
      </c>
      <c r="J136" s="96" t="str">
        <f t="shared" si="61"/>
        <v/>
      </c>
      <c r="K136" s="36" t="str">
        <f>IF(I136&lt;&gt;"",I136*(1+J136),I136)</f>
        <v/>
      </c>
      <c r="L136" s="96" t="str">
        <f t="shared" si="62"/>
        <v/>
      </c>
      <c r="M136" s="388" t="str">
        <f>IF(K136&lt;&gt;"",K136*(1+L136),K136)</f>
        <v/>
      </c>
      <c r="N136" s="96" t="str">
        <f>IF(M136&lt;&gt;"",$L$5,"")</f>
        <v/>
      </c>
      <c r="O136" s="388" t="str">
        <f>IF(M136&lt;&gt;"",M136*(1+N136),M136)</f>
        <v/>
      </c>
      <c r="P136" s="388" t="str">
        <f t="shared" si="33"/>
        <v/>
      </c>
      <c r="Q136" s="388" t="str">
        <f t="shared" si="34"/>
        <v/>
      </c>
      <c r="R136" s="388"/>
      <c r="S136" s="434">
        <v>10000000</v>
      </c>
      <c r="T136" s="262" t="str">
        <f t="shared" si="42"/>
        <v/>
      </c>
    </row>
    <row r="137" spans="2:20" ht="11.4" customHeight="1">
      <c r="B137" s="18" t="str">
        <f t="shared" ref="B137:B168" si="69">CONCATENATE(E137,D137,C137)</f>
        <v>TraditionalCommunity Pathways WaiverRent - Individual Support (State-Only Funded)</v>
      </c>
      <c r="C137" s="18" t="s">
        <v>391</v>
      </c>
      <c r="D137" s="18" t="s">
        <v>298</v>
      </c>
      <c r="E137" s="18" t="s">
        <v>33</v>
      </c>
      <c r="F137" s="18" t="s">
        <v>154</v>
      </c>
      <c r="G137" s="18" t="s">
        <v>91</v>
      </c>
      <c r="H137" s="18" t="s">
        <v>91</v>
      </c>
      <c r="I137" s="36"/>
      <c r="J137" s="65" t="str">
        <f t="shared" si="61"/>
        <v/>
      </c>
      <c r="K137" s="36"/>
      <c r="L137" s="65" t="str">
        <f t="shared" si="62"/>
        <v/>
      </c>
      <c r="M137" s="388">
        <f>ROUND(IF(K137&lt;&gt;"",K137*(1+L137),K137),2)</f>
        <v>0</v>
      </c>
      <c r="N137" s="65">
        <f>IF(M137&lt;&gt;"",$N$5,"")</f>
        <v>0.04</v>
      </c>
      <c r="O137" s="388">
        <f>ROUND(IF(M137&lt;&gt;"",M137*(1+N137),M137),2)</f>
        <v>0</v>
      </c>
      <c r="P137" s="388" t="str">
        <f t="shared" si="33"/>
        <v/>
      </c>
      <c r="Q137" s="388" t="str">
        <f t="shared" si="34"/>
        <v/>
      </c>
      <c r="R137" s="388"/>
      <c r="S137" s="434">
        <v>10000000</v>
      </c>
      <c r="T137" s="262" t="str">
        <f t="shared" si="42"/>
        <v/>
      </c>
    </row>
    <row r="138" spans="2:20" ht="11.4" customHeight="1">
      <c r="B138" s="27" t="str">
        <f t="shared" si="69"/>
        <v>Self-DirectionCommunity Pathways WaiverRespite Care Services - Camp</v>
      </c>
      <c r="C138" s="27" t="s">
        <v>101</v>
      </c>
      <c r="D138" s="27" t="s">
        <v>298</v>
      </c>
      <c r="E138" s="27" t="s">
        <v>127</v>
      </c>
      <c r="F138" s="27" t="s">
        <v>154</v>
      </c>
      <c r="G138" s="27" t="s">
        <v>350</v>
      </c>
      <c r="H138" s="27" t="s">
        <v>142</v>
      </c>
      <c r="I138" s="38" t="s">
        <v>212</v>
      </c>
      <c r="J138" s="65" t="str">
        <f t="shared" si="61"/>
        <v/>
      </c>
      <c r="K138" s="38" t="str">
        <f t="shared" ref="K138:K143" si="70">IF(I138&lt;&gt;"",I138*(1+J138),I138)</f>
        <v/>
      </c>
      <c r="L138" s="65" t="str">
        <f t="shared" si="62"/>
        <v/>
      </c>
      <c r="M138" s="388" t="str">
        <f t="shared" ref="M138:M143" si="71">IF(K138&lt;&gt;"",K138*(1+L138),K138)</f>
        <v/>
      </c>
      <c r="N138" s="65" t="str">
        <f t="shared" ref="N138:N143" si="72">IF(M138&lt;&gt;"",$L$5,"")</f>
        <v/>
      </c>
      <c r="O138" s="388" t="str">
        <f t="shared" ref="O138:O143" si="73">IF(M138&lt;&gt;"",M138*(1+N138),M138)</f>
        <v/>
      </c>
      <c r="P138" s="388" t="str">
        <f t="shared" ref="P138:P183" si="74">_xlfn.IFNA(VLOOKUP($G138,$V$12:$AA$100,5,FALSE),"")</f>
        <v/>
      </c>
      <c r="Q138" s="388" t="str">
        <f t="shared" ref="Q138:Q183" si="75">_xlfn.IFNA(VLOOKUP($G138,$V$12:$AA$100,6,FALSE),"")</f>
        <v/>
      </c>
      <c r="R138" s="388"/>
      <c r="S138" s="389">
        <v>7248</v>
      </c>
      <c r="T138" s="262" t="str">
        <f t="shared" si="42"/>
        <v/>
      </c>
    </row>
    <row r="139" spans="2:20" ht="11.4" customHeight="1">
      <c r="B139" s="18" t="str">
        <f t="shared" si="69"/>
        <v>Self-DirectionCommunity Supports WaiverRespite Care Services - Camp</v>
      </c>
      <c r="C139" s="18" t="s">
        <v>101</v>
      </c>
      <c r="D139" s="18" t="s">
        <v>200</v>
      </c>
      <c r="E139" s="18" t="s">
        <v>127</v>
      </c>
      <c r="F139" s="18" t="s">
        <v>154</v>
      </c>
      <c r="G139" s="18" t="s">
        <v>103</v>
      </c>
      <c r="H139" s="18" t="s">
        <v>142</v>
      </c>
      <c r="I139" s="36" t="s">
        <v>212</v>
      </c>
      <c r="J139" s="96" t="str">
        <f t="shared" si="61"/>
        <v/>
      </c>
      <c r="K139" s="36" t="str">
        <f t="shared" si="70"/>
        <v/>
      </c>
      <c r="L139" s="96" t="str">
        <f t="shared" si="62"/>
        <v/>
      </c>
      <c r="M139" s="388" t="str">
        <f t="shared" si="71"/>
        <v/>
      </c>
      <c r="N139" s="96" t="str">
        <f t="shared" si="72"/>
        <v/>
      </c>
      <c r="O139" s="388" t="str">
        <f t="shared" si="73"/>
        <v/>
      </c>
      <c r="P139" s="388" t="str">
        <f t="shared" si="74"/>
        <v/>
      </c>
      <c r="Q139" s="388" t="str">
        <f t="shared" si="75"/>
        <v/>
      </c>
      <c r="R139" s="388"/>
      <c r="S139" s="389">
        <v>25000</v>
      </c>
      <c r="T139" s="262" t="str">
        <f t="shared" si="42"/>
        <v/>
      </c>
    </row>
    <row r="140" spans="2:20" ht="11.4" customHeight="1">
      <c r="B140" s="18" t="str">
        <f t="shared" si="69"/>
        <v>Self-DirectionFamily Supports WaiverRespite Care Services - Camp</v>
      </c>
      <c r="C140" s="18" t="s">
        <v>101</v>
      </c>
      <c r="D140" s="18" t="s">
        <v>199</v>
      </c>
      <c r="E140" s="18" t="s">
        <v>127</v>
      </c>
      <c r="F140" s="18" t="s">
        <v>154</v>
      </c>
      <c r="G140" s="18" t="s">
        <v>105</v>
      </c>
      <c r="H140" s="18" t="s">
        <v>142</v>
      </c>
      <c r="I140" s="36" t="s">
        <v>212</v>
      </c>
      <c r="J140" s="96" t="str">
        <f t="shared" si="61"/>
        <v/>
      </c>
      <c r="K140" s="36" t="str">
        <f t="shared" si="70"/>
        <v/>
      </c>
      <c r="L140" s="96" t="str">
        <f t="shared" si="62"/>
        <v/>
      </c>
      <c r="M140" s="388" t="str">
        <f t="shared" si="71"/>
        <v/>
      </c>
      <c r="N140" s="96" t="str">
        <f t="shared" si="72"/>
        <v/>
      </c>
      <c r="O140" s="388" t="str">
        <f t="shared" si="73"/>
        <v/>
      </c>
      <c r="P140" s="388" t="str">
        <f t="shared" si="74"/>
        <v/>
      </c>
      <c r="Q140" s="388" t="str">
        <f t="shared" si="75"/>
        <v/>
      </c>
      <c r="R140" s="388"/>
      <c r="S140" s="389">
        <v>12000</v>
      </c>
      <c r="T140" s="262" t="str">
        <f t="shared" si="42"/>
        <v/>
      </c>
    </row>
    <row r="141" spans="2:20" ht="11.4" customHeight="1">
      <c r="B141" s="18" t="str">
        <f t="shared" si="69"/>
        <v>TraditionalCommunity Pathways WaiverRespite Care Services - Camp</v>
      </c>
      <c r="C141" s="18" t="s">
        <v>101</v>
      </c>
      <c r="D141" s="18" t="s">
        <v>298</v>
      </c>
      <c r="E141" s="18" t="s">
        <v>33</v>
      </c>
      <c r="F141" s="18" t="s">
        <v>154</v>
      </c>
      <c r="G141" s="18" t="s">
        <v>349</v>
      </c>
      <c r="H141" s="18" t="s">
        <v>142</v>
      </c>
      <c r="I141" s="36" t="s">
        <v>212</v>
      </c>
      <c r="J141" s="96" t="str">
        <f t="shared" si="61"/>
        <v/>
      </c>
      <c r="K141" s="36" t="str">
        <f t="shared" si="70"/>
        <v/>
      </c>
      <c r="L141" s="96" t="str">
        <f t="shared" si="62"/>
        <v/>
      </c>
      <c r="M141" s="388" t="str">
        <f t="shared" si="71"/>
        <v/>
      </c>
      <c r="N141" s="96" t="str">
        <f t="shared" si="72"/>
        <v/>
      </c>
      <c r="O141" s="388" t="str">
        <f t="shared" si="73"/>
        <v/>
      </c>
      <c r="P141" s="388" t="str">
        <f t="shared" si="74"/>
        <v/>
      </c>
      <c r="Q141" s="388" t="str">
        <f t="shared" si="75"/>
        <v/>
      </c>
      <c r="R141" s="388"/>
      <c r="S141" s="389">
        <v>7248</v>
      </c>
      <c r="T141" s="262" t="str">
        <f t="shared" si="42"/>
        <v/>
      </c>
    </row>
    <row r="142" spans="2:20" ht="11.4" customHeight="1">
      <c r="B142" s="27" t="str">
        <f t="shared" si="69"/>
        <v>TraditionalCommunity Supports WaiverRespite Care Services - Camp</v>
      </c>
      <c r="C142" s="27" t="s">
        <v>101</v>
      </c>
      <c r="D142" s="27" t="s">
        <v>200</v>
      </c>
      <c r="E142" s="27" t="s">
        <v>33</v>
      </c>
      <c r="F142" s="27" t="s">
        <v>154</v>
      </c>
      <c r="G142" s="27" t="s">
        <v>102</v>
      </c>
      <c r="H142" s="27" t="s">
        <v>142</v>
      </c>
      <c r="I142" s="38" t="s">
        <v>212</v>
      </c>
      <c r="J142" s="65" t="str">
        <f t="shared" si="61"/>
        <v/>
      </c>
      <c r="K142" s="38" t="str">
        <f t="shared" si="70"/>
        <v/>
      </c>
      <c r="L142" s="65" t="str">
        <f t="shared" si="62"/>
        <v/>
      </c>
      <c r="M142" s="388" t="str">
        <f t="shared" si="71"/>
        <v/>
      </c>
      <c r="N142" s="65" t="str">
        <f t="shared" si="72"/>
        <v/>
      </c>
      <c r="O142" s="388" t="str">
        <f t="shared" si="73"/>
        <v/>
      </c>
      <c r="P142" s="388" t="str">
        <f t="shared" si="74"/>
        <v/>
      </c>
      <c r="Q142" s="388" t="str">
        <f t="shared" si="75"/>
        <v/>
      </c>
      <c r="R142" s="388"/>
      <c r="S142" s="389">
        <v>25000</v>
      </c>
      <c r="T142" s="262" t="str">
        <f t="shared" si="42"/>
        <v/>
      </c>
    </row>
    <row r="143" spans="2:20" ht="11.4" customHeight="1">
      <c r="B143" s="18" t="str">
        <f t="shared" si="69"/>
        <v>TraditionalFamily Supports WaiverRespite Care Services - Camp</v>
      </c>
      <c r="C143" s="18" t="s">
        <v>101</v>
      </c>
      <c r="D143" s="18" t="s">
        <v>199</v>
      </c>
      <c r="E143" s="18" t="s">
        <v>33</v>
      </c>
      <c r="F143" s="18" t="s">
        <v>154</v>
      </c>
      <c r="G143" s="18" t="s">
        <v>104</v>
      </c>
      <c r="H143" s="18" t="s">
        <v>142</v>
      </c>
      <c r="I143" s="36" t="s">
        <v>212</v>
      </c>
      <c r="J143" s="96" t="str">
        <f t="shared" si="61"/>
        <v/>
      </c>
      <c r="K143" s="36" t="str">
        <f t="shared" si="70"/>
        <v/>
      </c>
      <c r="L143" s="96" t="str">
        <f t="shared" si="62"/>
        <v/>
      </c>
      <c r="M143" s="388" t="str">
        <f t="shared" si="71"/>
        <v/>
      </c>
      <c r="N143" s="96" t="str">
        <f t="shared" si="72"/>
        <v/>
      </c>
      <c r="O143" s="388" t="str">
        <f t="shared" si="73"/>
        <v/>
      </c>
      <c r="P143" s="388" t="str">
        <f t="shared" si="74"/>
        <v/>
      </c>
      <c r="Q143" s="388" t="str">
        <f t="shared" si="75"/>
        <v/>
      </c>
      <c r="R143" s="388"/>
      <c r="S143" s="389">
        <v>12000</v>
      </c>
      <c r="T143" s="262" t="str">
        <f t="shared" si="42"/>
        <v/>
      </c>
    </row>
    <row r="144" spans="2:20" ht="11.4" customHeight="1">
      <c r="B144" s="27" t="str">
        <f t="shared" si="69"/>
        <v>Self-DirectionCommunity Pathways WaiverRespite Care Services - Day</v>
      </c>
      <c r="C144" s="27" t="s">
        <v>106</v>
      </c>
      <c r="D144" s="27" t="s">
        <v>298</v>
      </c>
      <c r="E144" s="27" t="s">
        <v>127</v>
      </c>
      <c r="F144" s="27" t="s">
        <v>154</v>
      </c>
      <c r="G144" s="27" t="s">
        <v>352</v>
      </c>
      <c r="H144" s="27" t="s">
        <v>134</v>
      </c>
      <c r="I144" s="38">
        <v>322.14</v>
      </c>
      <c r="J144" s="65">
        <f t="shared" si="61"/>
        <v>3.5000000000000003E-2</v>
      </c>
      <c r="K144" s="38">
        <f t="shared" ref="K144:K155" si="76">ROUND(IF(I144&lt;&gt;"",I144*(1+J144),I144),2)</f>
        <v>333.41</v>
      </c>
      <c r="L144" s="65">
        <f t="shared" si="62"/>
        <v>3.5000000000000003E-2</v>
      </c>
      <c r="M144" s="388">
        <v>386.35</v>
      </c>
      <c r="N144" s="65">
        <f t="shared" ref="N144:N161" si="77">IF(M144&lt;&gt;"",$N$5,"")</f>
        <v>0.04</v>
      </c>
      <c r="O144" s="432">
        <v>417.06</v>
      </c>
      <c r="P144" s="388" t="str">
        <f t="shared" si="74"/>
        <v/>
      </c>
      <c r="Q144" s="388" t="str">
        <f t="shared" si="75"/>
        <v/>
      </c>
      <c r="R144" s="388"/>
      <c r="S144" s="389"/>
      <c r="T144" s="262" t="str">
        <f t="shared" si="42"/>
        <v/>
      </c>
    </row>
    <row r="145" spans="2:22" ht="11.4" customHeight="1">
      <c r="B145" s="27" t="str">
        <f t="shared" si="69"/>
        <v>Self-DirectionCommunity Supports WaiverRespite Care Services - Day</v>
      </c>
      <c r="C145" s="27" t="s">
        <v>106</v>
      </c>
      <c r="D145" s="27" t="s">
        <v>200</v>
      </c>
      <c r="E145" s="27" t="s">
        <v>127</v>
      </c>
      <c r="F145" s="27" t="s">
        <v>154</v>
      </c>
      <c r="G145" s="27" t="s">
        <v>108</v>
      </c>
      <c r="H145" s="27" t="s">
        <v>134</v>
      </c>
      <c r="I145" s="38">
        <v>322.14</v>
      </c>
      <c r="J145" s="65">
        <f t="shared" si="61"/>
        <v>3.5000000000000003E-2</v>
      </c>
      <c r="K145" s="38">
        <f t="shared" si="76"/>
        <v>333.41</v>
      </c>
      <c r="L145" s="65">
        <f t="shared" si="62"/>
        <v>3.5000000000000003E-2</v>
      </c>
      <c r="M145" s="388">
        <v>386.35</v>
      </c>
      <c r="N145" s="65">
        <f t="shared" si="77"/>
        <v>0.04</v>
      </c>
      <c r="O145" s="432">
        <v>417.06</v>
      </c>
      <c r="P145" s="388">
        <f t="shared" si="74"/>
        <v>450.42</v>
      </c>
      <c r="Q145" s="388">
        <f t="shared" si="75"/>
        <v>468.44</v>
      </c>
      <c r="R145" s="388">
        <f t="shared" ref="R145:R149" si="78">+Q145*(1+$R$4)</f>
        <v>487.17760000000004</v>
      </c>
      <c r="S145" s="389" t="s">
        <v>212</v>
      </c>
      <c r="T145" s="262">
        <f t="shared" si="42"/>
        <v>4.000710448026279E-2</v>
      </c>
    </row>
    <row r="146" spans="2:22" ht="11.4" customHeight="1">
      <c r="B146" s="27" t="str">
        <f t="shared" si="69"/>
        <v>Self-DirectionFamily Supports WaiverRespite Care Services - Day</v>
      </c>
      <c r="C146" s="27" t="s">
        <v>106</v>
      </c>
      <c r="D146" s="27" t="s">
        <v>199</v>
      </c>
      <c r="E146" s="27" t="s">
        <v>127</v>
      </c>
      <c r="F146" s="27" t="s">
        <v>154</v>
      </c>
      <c r="G146" s="27" t="s">
        <v>110</v>
      </c>
      <c r="H146" s="27" t="s">
        <v>134</v>
      </c>
      <c r="I146" s="38">
        <v>322.14</v>
      </c>
      <c r="J146" s="65">
        <f t="shared" si="61"/>
        <v>3.5000000000000003E-2</v>
      </c>
      <c r="K146" s="38">
        <f t="shared" si="76"/>
        <v>333.41</v>
      </c>
      <c r="L146" s="65">
        <f t="shared" si="62"/>
        <v>3.5000000000000003E-2</v>
      </c>
      <c r="M146" s="388">
        <v>386.35</v>
      </c>
      <c r="N146" s="65">
        <f t="shared" si="77"/>
        <v>0.04</v>
      </c>
      <c r="O146" s="432">
        <v>417.06</v>
      </c>
      <c r="P146" s="388">
        <f t="shared" si="74"/>
        <v>450.42</v>
      </c>
      <c r="Q146" s="388">
        <f t="shared" si="75"/>
        <v>468.44</v>
      </c>
      <c r="R146" s="388">
        <f t="shared" si="78"/>
        <v>487.17760000000004</v>
      </c>
      <c r="S146" s="389" t="s">
        <v>212</v>
      </c>
      <c r="T146" s="262">
        <f t="shared" ref="T146:T183" si="79">IF(ISERR(Q146/P146-1),"",Q146/P146-1)</f>
        <v>4.000710448026279E-2</v>
      </c>
      <c r="V146" t="s">
        <v>487</v>
      </c>
    </row>
    <row r="147" spans="2:22" ht="11.4" customHeight="1">
      <c r="B147" s="18" t="str">
        <f t="shared" si="69"/>
        <v>TraditionalCommunity Pathways WaiverRespite Care Services - Day</v>
      </c>
      <c r="C147" s="18" t="s">
        <v>106</v>
      </c>
      <c r="D147" s="18" t="s">
        <v>298</v>
      </c>
      <c r="E147" s="18" t="s">
        <v>33</v>
      </c>
      <c r="F147" s="18" t="s">
        <v>154</v>
      </c>
      <c r="G147" s="18" t="s">
        <v>351</v>
      </c>
      <c r="H147" s="18" t="s">
        <v>134</v>
      </c>
      <c r="I147" s="36">
        <v>322.14</v>
      </c>
      <c r="J147" s="96">
        <f t="shared" si="61"/>
        <v>3.5000000000000003E-2</v>
      </c>
      <c r="K147" s="36">
        <f t="shared" si="76"/>
        <v>333.41</v>
      </c>
      <c r="L147" s="96">
        <f t="shared" si="62"/>
        <v>3.5000000000000003E-2</v>
      </c>
      <c r="M147" s="388">
        <f>ROUND(IF(K147&lt;&gt;"",K147*(1+L147),K147),2)+41.27</f>
        <v>386.34999999999997</v>
      </c>
      <c r="N147" s="96">
        <f t="shared" si="77"/>
        <v>0.04</v>
      </c>
      <c r="O147" s="432">
        <v>417.06</v>
      </c>
      <c r="P147" s="388">
        <f t="shared" si="74"/>
        <v>450.42</v>
      </c>
      <c r="Q147" s="388">
        <f t="shared" si="75"/>
        <v>468.44</v>
      </c>
      <c r="R147" s="388">
        <f t="shared" si="78"/>
        <v>487.17760000000004</v>
      </c>
      <c r="S147" s="389"/>
      <c r="T147" s="262">
        <f t="shared" si="79"/>
        <v>4.000710448026279E-2</v>
      </c>
    </row>
    <row r="148" spans="2:22" ht="11.4" customHeight="1">
      <c r="B148" s="18" t="str">
        <f t="shared" si="69"/>
        <v>TraditionalCommunity Supports WaiverRespite Care Services - Day</v>
      </c>
      <c r="C148" s="18" t="s">
        <v>106</v>
      </c>
      <c r="D148" s="18" t="s">
        <v>200</v>
      </c>
      <c r="E148" s="18" t="s">
        <v>33</v>
      </c>
      <c r="F148" s="18" t="s">
        <v>154</v>
      </c>
      <c r="G148" s="18" t="s">
        <v>107</v>
      </c>
      <c r="H148" s="18" t="s">
        <v>134</v>
      </c>
      <c r="I148" s="36">
        <v>322.14</v>
      </c>
      <c r="J148" s="96">
        <f t="shared" si="61"/>
        <v>3.5000000000000003E-2</v>
      </c>
      <c r="K148" s="36">
        <f t="shared" si="76"/>
        <v>333.41</v>
      </c>
      <c r="L148" s="96">
        <f t="shared" si="62"/>
        <v>3.5000000000000003E-2</v>
      </c>
      <c r="M148" s="388">
        <v>386.35</v>
      </c>
      <c r="N148" s="96">
        <f t="shared" si="77"/>
        <v>0.04</v>
      </c>
      <c r="O148" s="432">
        <v>417.06</v>
      </c>
      <c r="P148" s="388">
        <f t="shared" si="74"/>
        <v>450.42</v>
      </c>
      <c r="Q148" s="388">
        <f t="shared" si="75"/>
        <v>468.44</v>
      </c>
      <c r="R148" s="388">
        <f t="shared" si="78"/>
        <v>487.17760000000004</v>
      </c>
      <c r="S148" s="389" t="s">
        <v>212</v>
      </c>
      <c r="T148" s="262">
        <f t="shared" si="79"/>
        <v>4.000710448026279E-2</v>
      </c>
    </row>
    <row r="149" spans="2:22" ht="11.4" customHeight="1">
      <c r="B149" s="27" t="str">
        <f t="shared" si="69"/>
        <v>TraditionalFamily Supports WaiverRespite Care Services - Day</v>
      </c>
      <c r="C149" s="27" t="s">
        <v>106</v>
      </c>
      <c r="D149" s="27" t="s">
        <v>199</v>
      </c>
      <c r="E149" s="27" t="s">
        <v>33</v>
      </c>
      <c r="F149" s="27" t="s">
        <v>154</v>
      </c>
      <c r="G149" s="27" t="s">
        <v>109</v>
      </c>
      <c r="H149" s="27" t="s">
        <v>134</v>
      </c>
      <c r="I149" s="38">
        <v>322.14</v>
      </c>
      <c r="J149" s="65">
        <f t="shared" si="61"/>
        <v>3.5000000000000003E-2</v>
      </c>
      <c r="K149" s="38">
        <f t="shared" si="76"/>
        <v>333.41</v>
      </c>
      <c r="L149" s="65">
        <f t="shared" si="62"/>
        <v>3.5000000000000003E-2</v>
      </c>
      <c r="M149" s="388">
        <v>386.35</v>
      </c>
      <c r="N149" s="65">
        <f t="shared" si="77"/>
        <v>0.04</v>
      </c>
      <c r="O149" s="432">
        <v>417.06</v>
      </c>
      <c r="P149" s="388">
        <f t="shared" si="74"/>
        <v>450.42</v>
      </c>
      <c r="Q149" s="388">
        <f t="shared" si="75"/>
        <v>468.44</v>
      </c>
      <c r="R149" s="388">
        <f t="shared" si="78"/>
        <v>487.17760000000004</v>
      </c>
      <c r="S149" s="389" t="s">
        <v>212</v>
      </c>
      <c r="T149" s="262">
        <f t="shared" si="79"/>
        <v>4.000710448026279E-2</v>
      </c>
    </row>
    <row r="150" spans="2:22" ht="11.4" customHeight="1">
      <c r="B150" s="27" t="str">
        <f t="shared" si="69"/>
        <v>Self-DirectionCommunity Pathways WaiverRespite Care Services - Hour</v>
      </c>
      <c r="C150" s="27" t="s">
        <v>111</v>
      </c>
      <c r="D150" s="27" t="s">
        <v>298</v>
      </c>
      <c r="E150" s="27" t="s">
        <v>127</v>
      </c>
      <c r="F150" s="27" t="s">
        <v>154</v>
      </c>
      <c r="G150" s="27" t="s">
        <v>354</v>
      </c>
      <c r="H150" s="27" t="s">
        <v>129</v>
      </c>
      <c r="I150" s="38">
        <v>20.13</v>
      </c>
      <c r="J150" s="65">
        <f t="shared" si="61"/>
        <v>3.5000000000000003E-2</v>
      </c>
      <c r="K150" s="38">
        <f t="shared" si="76"/>
        <v>20.83</v>
      </c>
      <c r="L150" s="65">
        <f t="shared" si="62"/>
        <v>3.5000000000000003E-2</v>
      </c>
      <c r="M150" s="388">
        <f t="shared" ref="M150:M155" si="80">ROUND(IF(K150&lt;&gt;"",K150*(1+L150),K150),2)</f>
        <v>21.56</v>
      </c>
      <c r="N150" s="65">
        <f t="shared" si="77"/>
        <v>0.04</v>
      </c>
      <c r="O150" s="388">
        <v>29.94</v>
      </c>
      <c r="P150" s="388">
        <f t="shared" si="74"/>
        <v>32.340000000000003</v>
      </c>
      <c r="Q150" s="388">
        <f t="shared" si="75"/>
        <v>33.630000000000003</v>
      </c>
      <c r="R150" s="388"/>
      <c r="S150" s="389"/>
      <c r="T150" s="262">
        <f t="shared" si="79"/>
        <v>3.9888682745825577E-2</v>
      </c>
    </row>
    <row r="151" spans="2:22" ht="11.4" customHeight="1">
      <c r="B151" s="18" t="str">
        <f t="shared" si="69"/>
        <v>Self-DirectionCommunity Supports WaiverRespite Care Services - Hour</v>
      </c>
      <c r="C151" s="18" t="s">
        <v>111</v>
      </c>
      <c r="D151" s="18" t="s">
        <v>200</v>
      </c>
      <c r="E151" s="18" t="s">
        <v>127</v>
      </c>
      <c r="F151" s="18" t="s">
        <v>154</v>
      </c>
      <c r="G151" s="18" t="s">
        <v>113</v>
      </c>
      <c r="H151" s="18" t="s">
        <v>129</v>
      </c>
      <c r="I151" s="36">
        <v>20.13</v>
      </c>
      <c r="J151" s="96">
        <f t="shared" si="61"/>
        <v>3.5000000000000003E-2</v>
      </c>
      <c r="K151" s="36">
        <f t="shared" si="76"/>
        <v>20.83</v>
      </c>
      <c r="L151" s="96">
        <f t="shared" si="62"/>
        <v>3.5000000000000003E-2</v>
      </c>
      <c r="M151" s="388">
        <f t="shared" si="80"/>
        <v>21.56</v>
      </c>
      <c r="N151" s="96">
        <f t="shared" si="77"/>
        <v>0.04</v>
      </c>
      <c r="O151" s="388">
        <v>29.94</v>
      </c>
      <c r="P151" s="388">
        <f t="shared" si="74"/>
        <v>32.340000000000003</v>
      </c>
      <c r="Q151" s="388">
        <f t="shared" si="75"/>
        <v>33.630000000000003</v>
      </c>
      <c r="R151" s="388">
        <f t="shared" ref="R151:R155" si="81">+Q151*(1+$R$4)</f>
        <v>34.975200000000001</v>
      </c>
      <c r="S151" s="389" t="s">
        <v>212</v>
      </c>
      <c r="T151" s="262">
        <f t="shared" si="79"/>
        <v>3.9888682745825577E-2</v>
      </c>
    </row>
    <row r="152" spans="2:22" ht="11.4" customHeight="1">
      <c r="B152" s="18" t="str">
        <f t="shared" si="69"/>
        <v>Self-DirectionFamily Supports WaiverRespite Care Services - Hour</v>
      </c>
      <c r="C152" s="18" t="s">
        <v>111</v>
      </c>
      <c r="D152" s="18" t="s">
        <v>199</v>
      </c>
      <c r="E152" s="18" t="s">
        <v>127</v>
      </c>
      <c r="F152" s="18" t="s">
        <v>154</v>
      </c>
      <c r="G152" s="18" t="s">
        <v>115</v>
      </c>
      <c r="H152" s="18" t="s">
        <v>129</v>
      </c>
      <c r="I152" s="36">
        <v>20.13</v>
      </c>
      <c r="J152" s="96">
        <f t="shared" si="61"/>
        <v>3.5000000000000003E-2</v>
      </c>
      <c r="K152" s="36">
        <f t="shared" si="76"/>
        <v>20.83</v>
      </c>
      <c r="L152" s="96">
        <f t="shared" si="62"/>
        <v>3.5000000000000003E-2</v>
      </c>
      <c r="M152" s="388">
        <f t="shared" si="80"/>
        <v>21.56</v>
      </c>
      <c r="N152" s="96">
        <f t="shared" si="77"/>
        <v>0.04</v>
      </c>
      <c r="O152" s="388">
        <v>29.94</v>
      </c>
      <c r="P152" s="388">
        <f t="shared" si="74"/>
        <v>32.340000000000003</v>
      </c>
      <c r="Q152" s="388">
        <f t="shared" si="75"/>
        <v>33.630000000000003</v>
      </c>
      <c r="R152" s="388">
        <f t="shared" si="81"/>
        <v>34.975200000000001</v>
      </c>
      <c r="S152" s="389" t="s">
        <v>212</v>
      </c>
      <c r="T152" s="262">
        <f t="shared" si="79"/>
        <v>3.9888682745825577E-2</v>
      </c>
    </row>
    <row r="153" spans="2:22" ht="11.4" customHeight="1">
      <c r="B153" s="18" t="str">
        <f t="shared" si="69"/>
        <v>TraditionalCommunity Pathways WaiverRespite Care Services - Hour</v>
      </c>
      <c r="C153" s="18" t="s">
        <v>111</v>
      </c>
      <c r="D153" s="18" t="s">
        <v>298</v>
      </c>
      <c r="E153" s="18" t="s">
        <v>33</v>
      </c>
      <c r="F153" s="18" t="s">
        <v>154</v>
      </c>
      <c r="G153" s="18" t="s">
        <v>353</v>
      </c>
      <c r="H153" s="18" t="s">
        <v>129</v>
      </c>
      <c r="I153" s="36">
        <v>20.13</v>
      </c>
      <c r="J153" s="96">
        <f t="shared" si="61"/>
        <v>3.5000000000000003E-2</v>
      </c>
      <c r="K153" s="36">
        <f t="shared" si="76"/>
        <v>20.83</v>
      </c>
      <c r="L153" s="96">
        <f t="shared" si="62"/>
        <v>3.5000000000000003E-2</v>
      </c>
      <c r="M153" s="388">
        <f t="shared" si="80"/>
        <v>21.56</v>
      </c>
      <c r="N153" s="96">
        <f t="shared" si="77"/>
        <v>0.04</v>
      </c>
      <c r="O153" s="388">
        <v>29.94</v>
      </c>
      <c r="P153" s="388">
        <f t="shared" si="74"/>
        <v>32.340000000000003</v>
      </c>
      <c r="Q153" s="388">
        <f t="shared" si="75"/>
        <v>33.630000000000003</v>
      </c>
      <c r="R153" s="388">
        <f t="shared" si="81"/>
        <v>34.975200000000001</v>
      </c>
      <c r="S153" s="389"/>
      <c r="T153" s="262">
        <f t="shared" si="79"/>
        <v>3.9888682745825577E-2</v>
      </c>
    </row>
    <row r="154" spans="2:22" ht="11.4" customHeight="1">
      <c r="B154" s="27" t="str">
        <f t="shared" si="69"/>
        <v>TraditionalCommunity Supports WaiverRespite Care Services - Hour</v>
      </c>
      <c r="C154" s="27" t="s">
        <v>111</v>
      </c>
      <c r="D154" s="27" t="s">
        <v>200</v>
      </c>
      <c r="E154" s="27" t="s">
        <v>33</v>
      </c>
      <c r="F154" s="27" t="s">
        <v>154</v>
      </c>
      <c r="G154" s="27" t="s">
        <v>112</v>
      </c>
      <c r="H154" s="27" t="s">
        <v>129</v>
      </c>
      <c r="I154" s="38">
        <v>20.13</v>
      </c>
      <c r="J154" s="65">
        <f t="shared" si="61"/>
        <v>3.5000000000000003E-2</v>
      </c>
      <c r="K154" s="38">
        <f t="shared" si="76"/>
        <v>20.83</v>
      </c>
      <c r="L154" s="65">
        <f t="shared" si="62"/>
        <v>3.5000000000000003E-2</v>
      </c>
      <c r="M154" s="388">
        <f t="shared" si="80"/>
        <v>21.56</v>
      </c>
      <c r="N154" s="65">
        <f t="shared" si="77"/>
        <v>0.04</v>
      </c>
      <c r="O154" s="388">
        <v>29.94</v>
      </c>
      <c r="P154" s="388">
        <f t="shared" si="74"/>
        <v>32.340000000000003</v>
      </c>
      <c r="Q154" s="388">
        <f t="shared" si="75"/>
        <v>33.630000000000003</v>
      </c>
      <c r="R154" s="388">
        <f t="shared" si="81"/>
        <v>34.975200000000001</v>
      </c>
      <c r="S154" s="389" t="s">
        <v>212</v>
      </c>
      <c r="T154" s="262">
        <f t="shared" si="79"/>
        <v>3.9888682745825577E-2</v>
      </c>
    </row>
    <row r="155" spans="2:22" ht="11.4" customHeight="1">
      <c r="B155" s="18" t="str">
        <f t="shared" si="69"/>
        <v>TraditionalFamily Supports WaiverRespite Care Services - Hour</v>
      </c>
      <c r="C155" s="18" t="s">
        <v>111</v>
      </c>
      <c r="D155" s="18" t="s">
        <v>199</v>
      </c>
      <c r="E155" s="18" t="s">
        <v>33</v>
      </c>
      <c r="F155" s="18" t="s">
        <v>154</v>
      </c>
      <c r="G155" s="18" t="s">
        <v>114</v>
      </c>
      <c r="H155" s="18" t="s">
        <v>129</v>
      </c>
      <c r="I155" s="36">
        <v>20.13</v>
      </c>
      <c r="J155" s="65">
        <f t="shared" si="61"/>
        <v>3.5000000000000003E-2</v>
      </c>
      <c r="K155" s="36">
        <f t="shared" si="76"/>
        <v>20.83</v>
      </c>
      <c r="L155" s="65">
        <f t="shared" si="62"/>
        <v>3.5000000000000003E-2</v>
      </c>
      <c r="M155" s="388">
        <f t="shared" si="80"/>
        <v>21.56</v>
      </c>
      <c r="N155" s="65">
        <f t="shared" si="77"/>
        <v>0.04</v>
      </c>
      <c r="O155" s="388">
        <v>29.94</v>
      </c>
      <c r="P155" s="388">
        <f t="shared" si="74"/>
        <v>32.340000000000003</v>
      </c>
      <c r="Q155" s="388">
        <f t="shared" si="75"/>
        <v>33.630000000000003</v>
      </c>
      <c r="R155" s="388">
        <f t="shared" si="81"/>
        <v>34.975200000000001</v>
      </c>
      <c r="S155" s="389" t="s">
        <v>212</v>
      </c>
      <c r="T155" s="262">
        <f t="shared" si="79"/>
        <v>3.9888682745825577E-2</v>
      </c>
    </row>
    <row r="156" spans="2:22" ht="11.4" customHeight="1">
      <c r="B156" s="433" t="str">
        <f t="shared" si="69"/>
        <v>TraditionalCommunity Pathways WaiverShared Living</v>
      </c>
      <c r="C156" s="433" t="s">
        <v>355</v>
      </c>
      <c r="D156" s="18" t="s">
        <v>298</v>
      </c>
      <c r="E156" s="18" t="s">
        <v>33</v>
      </c>
      <c r="F156" s="18" t="s">
        <v>315</v>
      </c>
      <c r="G156" s="18" t="s">
        <v>356</v>
      </c>
      <c r="H156" s="18" t="s">
        <v>142</v>
      </c>
      <c r="I156" s="38"/>
      <c r="J156" s="65" t="str">
        <f t="shared" si="61"/>
        <v/>
      </c>
      <c r="K156" s="38">
        <f>IF(I156&lt;&gt;"",I156*(1+J156),I156)</f>
        <v>0</v>
      </c>
      <c r="L156" s="65">
        <f t="shared" si="62"/>
        <v>3.5000000000000003E-2</v>
      </c>
      <c r="M156" s="38">
        <f>IF(K156&lt;&gt;"",K156*(1+L156),K156)</f>
        <v>0</v>
      </c>
      <c r="N156" s="65">
        <f t="shared" si="77"/>
        <v>0.04</v>
      </c>
      <c r="O156" s="38">
        <f>IF(M156&lt;&gt;"",M156*(1+N156),M156)</f>
        <v>0</v>
      </c>
      <c r="P156" s="388" t="str">
        <f t="shared" si="74"/>
        <v/>
      </c>
      <c r="Q156" s="388" t="str">
        <f t="shared" si="75"/>
        <v/>
      </c>
      <c r="R156" s="388"/>
      <c r="S156" s="434">
        <v>10000000</v>
      </c>
      <c r="T156" s="262" t="str">
        <f t="shared" si="79"/>
        <v/>
      </c>
    </row>
    <row r="157" spans="2:22" ht="11.4" customHeight="1">
      <c r="B157" s="433" t="str">
        <f t="shared" si="69"/>
        <v>TraditionalCommunity Pathways WaiverShared Living - Host Home Stipend</v>
      </c>
      <c r="C157" s="433" t="s">
        <v>357</v>
      </c>
      <c r="D157" s="27" t="s">
        <v>298</v>
      </c>
      <c r="E157" s="27" t="s">
        <v>33</v>
      </c>
      <c r="F157" s="27" t="s">
        <v>315</v>
      </c>
      <c r="G157" s="27" t="s">
        <v>358</v>
      </c>
      <c r="H157" s="27" t="s">
        <v>135</v>
      </c>
      <c r="I157" s="38">
        <v>1500</v>
      </c>
      <c r="J157" s="96">
        <f t="shared" si="61"/>
        <v>3.5000000000000003E-2</v>
      </c>
      <c r="K157" s="38">
        <f>ROUND(IF(I157&lt;&gt;"",I157*(1+J157),I157),2)</f>
        <v>1552.5</v>
      </c>
      <c r="L157" s="96">
        <f t="shared" si="62"/>
        <v>3.5000000000000003E-2</v>
      </c>
      <c r="M157" s="38">
        <f>ROUND(IF(K157&lt;&gt;"",K157*(1+L157),K157),2)</f>
        <v>1606.84</v>
      </c>
      <c r="N157" s="96">
        <f t="shared" si="77"/>
        <v>0.04</v>
      </c>
      <c r="O157" s="38">
        <f>ROUND(IF(M157&lt;&gt;"",M157*(1+N157),M157),2)</f>
        <v>1671.11</v>
      </c>
      <c r="P157" s="388" t="str">
        <f t="shared" si="74"/>
        <v/>
      </c>
      <c r="Q157" s="388" t="str">
        <f t="shared" si="75"/>
        <v/>
      </c>
      <c r="R157" s="388"/>
      <c r="S157" s="39"/>
      <c r="T157" s="262" t="str">
        <f t="shared" si="79"/>
        <v/>
      </c>
    </row>
    <row r="158" spans="2:22" ht="11.4" customHeight="1">
      <c r="B158" s="433" t="str">
        <f t="shared" si="69"/>
        <v>TraditionalCommunity Pathways WaiverShared Living - Matching Service</v>
      </c>
      <c r="C158" s="433" t="s">
        <v>359</v>
      </c>
      <c r="D158" s="18" t="s">
        <v>298</v>
      </c>
      <c r="E158" s="18" t="s">
        <v>33</v>
      </c>
      <c r="F158" s="18" t="s">
        <v>315</v>
      </c>
      <c r="G158" s="18" t="s">
        <v>360</v>
      </c>
      <c r="H158" s="18" t="s">
        <v>132</v>
      </c>
      <c r="I158" s="36">
        <v>1911</v>
      </c>
      <c r="J158" s="65">
        <f t="shared" si="61"/>
        <v>3.5000000000000003E-2</v>
      </c>
      <c r="K158" s="36">
        <f>ROUND(IF(I158&lt;&gt;"",I158*(1+J158),I158),2)</f>
        <v>1977.89</v>
      </c>
      <c r="L158" s="65">
        <f t="shared" si="62"/>
        <v>3.5000000000000003E-2</v>
      </c>
      <c r="M158" s="36">
        <f>ROUND(IF(K158&lt;&gt;"",K158*(1+L158),K158),2)</f>
        <v>2047.12</v>
      </c>
      <c r="N158" s="65">
        <f t="shared" si="77"/>
        <v>0.04</v>
      </c>
      <c r="O158" s="36">
        <f>ROUND(IF(M158&lt;&gt;"",M158*(1+N158),M158),2)</f>
        <v>2129</v>
      </c>
      <c r="P158" s="388" t="str">
        <f t="shared" si="74"/>
        <v/>
      </c>
      <c r="Q158" s="388" t="str">
        <f t="shared" si="75"/>
        <v/>
      </c>
      <c r="R158" s="388"/>
      <c r="S158" s="37"/>
      <c r="T158" s="262" t="str">
        <f t="shared" si="79"/>
        <v/>
      </c>
    </row>
    <row r="159" spans="2:22" ht="11.4" customHeight="1">
      <c r="B159" s="18" t="str">
        <f t="shared" si="69"/>
        <v>TraditionalCommunity Pathways WaiverShared Living (old)</v>
      </c>
      <c r="C159" s="18" t="s">
        <v>420</v>
      </c>
      <c r="D159" s="18" t="s">
        <v>298</v>
      </c>
      <c r="E159" s="18" t="s">
        <v>33</v>
      </c>
      <c r="F159" s="18" t="s">
        <v>315</v>
      </c>
      <c r="G159" s="18" t="s">
        <v>356</v>
      </c>
      <c r="H159" s="18" t="s">
        <v>134</v>
      </c>
      <c r="I159" s="92" t="str">
        <f>IF(ISERROR((VLOOKUP(CONCATENATE(Budget!$AQ$13,Budget!$K$7,Budget!$J$7),Budget!$DA$5:$DI$154,9)+Budget!$AQ$18)),"",(VLOOKUP(CONCATENATE(Budget!$AQ$13,Budget!$K$7,Budget!$J$7),Budget!$DA$5:$DI$154,9)+Budget!$AQ$18))</f>
        <v/>
      </c>
      <c r="J159" s="96" t="str">
        <f t="shared" si="61"/>
        <v/>
      </c>
      <c r="K159" s="92" t="str">
        <f>IF(ISERROR((VLOOKUP(CONCATENATE(Budget!$AQ$13,Budget!$K$7,Budget!$J$7),Budget!$DK$5:$DS$154,9)+(Budget!$AQ$18*(1+$J$5)))),"",(VLOOKUP(CONCATENATE(Budget!$AQ$13,Budget!$K$7,Budget!$J$7),Budget!$DK$5:$DS$154,9)+(Budget!$AQ$18*(1+$J$5))))</f>
        <v/>
      </c>
      <c r="L159" s="96" t="str">
        <f t="shared" si="62"/>
        <v/>
      </c>
      <c r="M159" s="92" t="str">
        <f>IF(ISERROR((VLOOKUP(CONCATENATE(Budget!$AQ$13,Budget!$K$7,Budget!$J$7),Budget!$DK$5:$DS$154,9)+(Budget!$AQ$18*(1+$J$5)))),"",(VLOOKUP(CONCATENATE(Budget!$AQ$13,Budget!$K$7,Budget!$J$7),Budget!$DK$5:$DS$154,9)+(Budget!$AQ$18*(1+$J$5))))</f>
        <v/>
      </c>
      <c r="N159" s="96" t="str">
        <f t="shared" si="77"/>
        <v/>
      </c>
      <c r="O159" s="92" t="str">
        <f>IF(ISERROR((VLOOKUP(CONCATENATE(Budget!$AQ$13,Budget!$K$7,Budget!$J$7),Budget!$DK$5:$DS$154,9)+(Budget!$AQ$18*(1+$J$5)))),"",(VLOOKUP(CONCATENATE(Budget!$AQ$13,Budget!$K$7,Budget!$J$7),Budget!$DK$5:$DS$154,9)+(Budget!$AQ$18*(1+$J$5))))</f>
        <v/>
      </c>
      <c r="P159" s="388" t="str">
        <f t="shared" si="74"/>
        <v/>
      </c>
      <c r="Q159" s="388" t="str">
        <f t="shared" si="75"/>
        <v/>
      </c>
      <c r="R159" s="388"/>
      <c r="S159" s="37"/>
      <c r="T159" s="262" t="str">
        <f t="shared" si="79"/>
        <v/>
      </c>
    </row>
    <row r="160" spans="2:22" ht="11.4" customHeight="1">
      <c r="B160" s="27" t="str">
        <f t="shared" si="69"/>
        <v>TraditionalCommunity Pathways WaiverSkilled Nursing (State-Only Funded)</v>
      </c>
      <c r="C160" s="27" t="s">
        <v>392</v>
      </c>
      <c r="D160" s="27" t="s">
        <v>298</v>
      </c>
      <c r="E160" s="27" t="s">
        <v>33</v>
      </c>
      <c r="F160" s="27" t="s">
        <v>154</v>
      </c>
      <c r="G160" s="27" t="s">
        <v>91</v>
      </c>
      <c r="H160" s="27" t="s">
        <v>91</v>
      </c>
      <c r="I160" s="38"/>
      <c r="J160" s="96" t="str">
        <f t="shared" si="61"/>
        <v/>
      </c>
      <c r="K160" s="38"/>
      <c r="L160" s="96" t="str">
        <f t="shared" si="62"/>
        <v/>
      </c>
      <c r="M160" s="388">
        <f>ROUND(IF(K160&lt;&gt;"",K160*(1+L160),K160),2)</f>
        <v>0</v>
      </c>
      <c r="N160" s="96">
        <f t="shared" si="77"/>
        <v>0.04</v>
      </c>
      <c r="O160" s="388">
        <f>ROUND(IF(M160&lt;&gt;"",M160*(1+N160),M160),2)</f>
        <v>0</v>
      </c>
      <c r="P160" s="388" t="str">
        <f t="shared" si="74"/>
        <v/>
      </c>
      <c r="Q160" s="388" t="str">
        <f t="shared" si="75"/>
        <v/>
      </c>
      <c r="R160" s="388"/>
      <c r="S160" s="434">
        <v>10000000</v>
      </c>
      <c r="T160" s="262" t="str">
        <f t="shared" si="79"/>
        <v/>
      </c>
    </row>
    <row r="161" spans="2:20" ht="11.4" customHeight="1">
      <c r="B161" s="27" t="str">
        <f t="shared" si="69"/>
        <v>Self-DirectionCommunity Pathways WaiverSupport Broker Services</v>
      </c>
      <c r="C161" s="27" t="s">
        <v>126</v>
      </c>
      <c r="D161" s="27" t="s">
        <v>298</v>
      </c>
      <c r="E161" s="27" t="s">
        <v>127</v>
      </c>
      <c r="F161" s="27" t="s">
        <v>154</v>
      </c>
      <c r="G161" s="27" t="s">
        <v>361</v>
      </c>
      <c r="H161" s="27" t="s">
        <v>142</v>
      </c>
      <c r="I161" s="38"/>
      <c r="J161" s="96" t="str">
        <f t="shared" si="61"/>
        <v/>
      </c>
      <c r="K161" s="38">
        <f>IF(I161&lt;&gt;"",I161*(1+J161),I161)</f>
        <v>0</v>
      </c>
      <c r="L161" s="96">
        <f t="shared" si="62"/>
        <v>3.5000000000000003E-2</v>
      </c>
      <c r="M161" s="388">
        <f>IF(K161&lt;&gt;"",K161*(1+L161),K161)</f>
        <v>0</v>
      </c>
      <c r="N161" s="96">
        <f t="shared" si="77"/>
        <v>0.04</v>
      </c>
      <c r="O161" s="388">
        <f>IF(M161&lt;&gt;"",M161*(1+N161),M161)</f>
        <v>0</v>
      </c>
      <c r="P161" s="388" t="str">
        <f t="shared" si="74"/>
        <v/>
      </c>
      <c r="Q161" s="388" t="str">
        <f t="shared" si="75"/>
        <v/>
      </c>
      <c r="R161" s="388"/>
      <c r="S161" s="434">
        <v>10000000</v>
      </c>
      <c r="T161" s="262" t="str">
        <f t="shared" si="79"/>
        <v/>
      </c>
    </row>
    <row r="162" spans="2:20" ht="11.4" customHeight="1">
      <c r="B162" s="27" t="str">
        <f t="shared" si="69"/>
        <v>Self-DirectionCommunity Supports WaiverSupport Broker Services</v>
      </c>
      <c r="C162" s="27" t="s">
        <v>126</v>
      </c>
      <c r="D162" s="27" t="s">
        <v>200</v>
      </c>
      <c r="E162" s="27" t="s">
        <v>127</v>
      </c>
      <c r="F162" s="27" t="s">
        <v>154</v>
      </c>
      <c r="G162" s="27" t="s">
        <v>128</v>
      </c>
      <c r="H162" s="27" t="s">
        <v>142</v>
      </c>
      <c r="I162" s="38" t="s">
        <v>212</v>
      </c>
      <c r="J162" s="65" t="str">
        <f t="shared" si="61"/>
        <v/>
      </c>
      <c r="K162" s="38" t="str">
        <f>IF(I162&lt;&gt;"",I162*(1+J162),I162)</f>
        <v/>
      </c>
      <c r="L162" s="65" t="str">
        <f t="shared" si="62"/>
        <v/>
      </c>
      <c r="M162" s="388" t="str">
        <f>IF(K162&lt;&gt;"",K162*(1+L162),K162)</f>
        <v/>
      </c>
      <c r="N162" s="65" t="str">
        <f>IF(M162&lt;&gt;"",$L$5,"")</f>
        <v/>
      </c>
      <c r="O162" s="388" t="str">
        <f>IF(M162&lt;&gt;"",M162*(1+N162),M162)</f>
        <v/>
      </c>
      <c r="P162" s="388" t="str">
        <f t="shared" si="74"/>
        <v/>
      </c>
      <c r="Q162" s="388" t="str">
        <f t="shared" si="75"/>
        <v/>
      </c>
      <c r="R162" s="388"/>
      <c r="S162" s="389">
        <v>25000</v>
      </c>
      <c r="T162" s="262" t="str">
        <f t="shared" si="79"/>
        <v/>
      </c>
    </row>
    <row r="163" spans="2:20" ht="11.4" customHeight="1">
      <c r="B163" s="27" t="str">
        <f t="shared" si="69"/>
        <v>Self-DirectionFamily Supports WaiverSupport Broker Services</v>
      </c>
      <c r="C163" s="27" t="s">
        <v>126</v>
      </c>
      <c r="D163" s="27" t="s">
        <v>199</v>
      </c>
      <c r="E163" s="27" t="s">
        <v>127</v>
      </c>
      <c r="F163" s="27" t="s">
        <v>154</v>
      </c>
      <c r="G163" s="27" t="s">
        <v>130</v>
      </c>
      <c r="H163" s="27" t="s">
        <v>142</v>
      </c>
      <c r="I163" s="38" t="s">
        <v>212</v>
      </c>
      <c r="J163" s="65" t="str">
        <f t="shared" si="61"/>
        <v/>
      </c>
      <c r="K163" s="38" t="str">
        <f>IF(I163&lt;&gt;"",I163*(1+J163),I163)</f>
        <v/>
      </c>
      <c r="L163" s="65" t="str">
        <f t="shared" si="62"/>
        <v/>
      </c>
      <c r="M163" s="388" t="str">
        <f>IF(K163&lt;&gt;"",K163*(1+L163),K163)</f>
        <v/>
      </c>
      <c r="N163" s="65" t="str">
        <f>IF(M163&lt;&gt;"",$L$5,"")</f>
        <v/>
      </c>
      <c r="O163" s="388" t="str">
        <f>IF(M163&lt;&gt;"",M163*(1+N163),M163)</f>
        <v/>
      </c>
      <c r="P163" s="388" t="str">
        <f t="shared" si="74"/>
        <v/>
      </c>
      <c r="Q163" s="388" t="str">
        <f t="shared" si="75"/>
        <v/>
      </c>
      <c r="R163" s="388"/>
      <c r="S163" s="389">
        <v>12000</v>
      </c>
      <c r="T163" s="262" t="str">
        <f t="shared" si="79"/>
        <v/>
      </c>
    </row>
    <row r="164" spans="2:20" ht="11.4" customHeight="1">
      <c r="B164" s="27" t="str">
        <f t="shared" si="69"/>
        <v>Self-DirectionCommunity Pathways WaiverSupported Employment</v>
      </c>
      <c r="C164" s="27" t="s">
        <v>152</v>
      </c>
      <c r="D164" s="27" t="s">
        <v>298</v>
      </c>
      <c r="E164" s="27" t="s">
        <v>127</v>
      </c>
      <c r="F164" s="27" t="s">
        <v>377</v>
      </c>
      <c r="G164" s="27" t="s">
        <v>363</v>
      </c>
      <c r="H164" s="27" t="s">
        <v>134</v>
      </c>
      <c r="I164" s="92" t="str">
        <f>IF(ISERROR((VLOOKUP(CONCATENATE(Budget!$AQ$13,Budget!$K$8,Budget!$J$8),Budget!$CF$4:$CN$310,9)+Budget!$AP$18)),"",(VLOOKUP(CONCATENATE(Budget!$AQ$13,Budget!$K$8,Budget!$J$8),Budget!$CF$4:$CN$310,9)+Budget!$AP$18))</f>
        <v/>
      </c>
      <c r="J164" s="96" t="str">
        <f t="shared" si="61"/>
        <v/>
      </c>
      <c r="K164" s="92" t="str">
        <f>IF(ISERROR(VLOOKUP(CONCATENATE(Budget!$AQ$13,Budget!$K$6,Budget!$J$6),Budget!$CP$4:$CX$310,9)+Budget!$AP$18*(1+$J$5)),"",VLOOKUP(CONCATENATE(Budget!$AQ$13,Budget!$K$6,Budget!$J$6),Budget!$CP$4:$CX$310,9)+Budget!$AP$18*(1+$J$5))</f>
        <v/>
      </c>
      <c r="L164" s="96" t="str">
        <f t="shared" si="62"/>
        <v/>
      </c>
      <c r="M164" s="92" t="str">
        <f>IF(ISERROR(VLOOKUP(CONCATENATE(Budget!$AQ$13,Budget!$K$6,Budget!$J$6),Budget!$CP$4:$CX$310,9)+Budget!$AP$18*(1+$J$5)),"",VLOOKUP(CONCATENATE(Budget!$AQ$13,Budget!$K$6,Budget!$J$6),Budget!$CP$4:$CX$310,9)+Budget!$AP$18*(1+$J$5))</f>
        <v/>
      </c>
      <c r="N164" s="96" t="str">
        <f>IF(M164&lt;&gt;"",$N$5,"")</f>
        <v/>
      </c>
      <c r="O164" s="92" t="str">
        <f>IF(ISERROR(VLOOKUP(CONCATENATE(Budget!$AQ$13,Budget!$K$6,Budget!$J$6),Budget!$CP$4:$CX$310,9)+Budget!$AP$18*(1+$J$5)),"",VLOOKUP(CONCATENATE(Budget!$AQ$13,Budget!$K$6,Budget!$J$6),Budget!$CP$4:$CX$310,9)+Budget!$AP$18*(1+$J$5))</f>
        <v/>
      </c>
      <c r="P164" s="388" t="str">
        <f t="shared" si="74"/>
        <v/>
      </c>
      <c r="Q164" s="388" t="str">
        <f t="shared" si="75"/>
        <v/>
      </c>
      <c r="R164" s="388"/>
      <c r="S164" s="39"/>
      <c r="T164" s="262" t="str">
        <f t="shared" si="79"/>
        <v/>
      </c>
    </row>
    <row r="165" spans="2:20" ht="11.4" customHeight="1">
      <c r="B165" s="18" t="str">
        <f t="shared" si="69"/>
        <v>Self-DirectionCommunity Supports WaiverSupported Employment</v>
      </c>
      <c r="C165" s="18" t="s">
        <v>152</v>
      </c>
      <c r="D165" s="18" t="s">
        <v>200</v>
      </c>
      <c r="E165" s="18" t="s">
        <v>127</v>
      </c>
      <c r="F165" s="18" t="s">
        <v>377</v>
      </c>
      <c r="G165" s="18" t="s">
        <v>42</v>
      </c>
      <c r="H165" s="18" t="s">
        <v>134</v>
      </c>
      <c r="I165" s="92" t="str">
        <f>IF(ISERROR((VLOOKUP(CONCATENATE(Budget!$AQ$13,Budget!$K$8,Budget!$J$8),Budget!$CF$4:$CN$310,9)+Budget!$AP$18)),"",(VLOOKUP(CONCATENATE(Budget!$AQ$13,Budget!$K$8,Budget!$J$8),Budget!$CF$4:$CN$310,9)+Budget!$AP$18))</f>
        <v/>
      </c>
      <c r="J165" s="96" t="str">
        <f t="shared" si="61"/>
        <v/>
      </c>
      <c r="K165" s="92" t="str">
        <f>IF(ISERROR((VLOOKUP(CONCATENATE(Budget!$AQ$13,Budget!$K$8,Budget!$J$8),Budget!$CP$4:$CX$310,9)+(Budget!$AP$18*(1+$J$5)))),"",(VLOOKUP(CONCATENATE(Budget!$AQ$13,Budget!$K$8,Budget!$J$8),Budget!$CP$4:$CX$310,9)+(Budget!$AP$18*(1+$J$5))))</f>
        <v/>
      </c>
      <c r="L165" s="96" t="str">
        <f t="shared" si="62"/>
        <v/>
      </c>
      <c r="M165" s="92" t="str">
        <f>IF(ISERROR((VLOOKUP(CONCATENATE(Budget!$AQ$13,Budget!$K$8,Budget!$J$8),Budget!$CP$4:$CX$310,9)+(Budget!$AP$18*(1+$J$5)))),"",(VLOOKUP(CONCATENATE(Budget!$AQ$13,Budget!$K$8,Budget!$J$8),Budget!$CP$4:$CX$310,9)+(Budget!$AP$18*(1+$J$5))))</f>
        <v/>
      </c>
      <c r="N165" s="96" t="str">
        <f>IF(M165&lt;&gt;"",$N$5,"")</f>
        <v/>
      </c>
      <c r="O165" s="92" t="str">
        <f>IF(ISERROR((VLOOKUP(CONCATENATE(Budget!$AQ$13,Budget!$K$8,Budget!$J$8),Budget!$CP$4:$CX$310,9)+(Budget!$AP$18*(1+$J$5)))),"",(VLOOKUP(CONCATENATE(Budget!$AQ$13,Budget!$K$8,Budget!$J$8),Budget!$CP$4:$CX$310,9)+(Budget!$AP$18*(1+$J$5))))</f>
        <v/>
      </c>
      <c r="P165" s="388">
        <f t="shared" si="74"/>
        <v>1089</v>
      </c>
      <c r="Q165" s="388">
        <f t="shared" si="75"/>
        <v>1133</v>
      </c>
      <c r="R165" s="388"/>
      <c r="S165" s="37" t="s">
        <v>212</v>
      </c>
      <c r="T165" s="262">
        <f t="shared" si="79"/>
        <v>4.0404040404040442E-2</v>
      </c>
    </row>
    <row r="166" spans="2:20" ht="11.4" customHeight="1">
      <c r="B166" s="18" t="str">
        <f t="shared" si="69"/>
        <v>TraditionalCommunity Pathways WaiverSupported Employment</v>
      </c>
      <c r="C166" s="18" t="s">
        <v>152</v>
      </c>
      <c r="D166" s="18" t="s">
        <v>298</v>
      </c>
      <c r="E166" s="18" t="s">
        <v>33</v>
      </c>
      <c r="F166" s="18" t="s">
        <v>377</v>
      </c>
      <c r="G166" s="18" t="s">
        <v>362</v>
      </c>
      <c r="H166" s="18" t="s">
        <v>134</v>
      </c>
      <c r="I166" s="92" t="str">
        <f>IF(ISERROR((VLOOKUP(CONCATENATE(Budget!$AQ$13,Budget!$K$8,Budget!$J$8),Budget!$CF$4:$CN$310,9)+Budget!$AP$18)),"",(VLOOKUP(CONCATENATE(Budget!$AQ$13,Budget!$K$8,Budget!$J$8),Budget!$CF$4:$CN$310,9)+Budget!$AP$18))</f>
        <v/>
      </c>
      <c r="J166" s="65" t="str">
        <f t="shared" si="61"/>
        <v/>
      </c>
      <c r="K166" s="92" t="str">
        <f>IF(ISERROR(VLOOKUP(CONCATENATE(Budget!$AQ$13,Budget!$K$6,Budget!$J$6),Budget!$CP$4:$CX$310,9)+Budget!$AP$18*(1+$J$5)),"",VLOOKUP(CONCATENATE(Budget!$AQ$13,Budget!$K$6,Budget!$J$6),Budget!$CP$4:$CX$310,9)+Budget!$AP$18*(1+$J$5))</f>
        <v/>
      </c>
      <c r="L166" s="65" t="str">
        <f t="shared" si="62"/>
        <v/>
      </c>
      <c r="M166" s="92" t="str">
        <f>IF(ISERROR(VLOOKUP(CONCATENATE(Budget!$AQ$13,Budget!$K$6,Budget!$J$6),Budget!$CP$4:$CX$310,9)+Budget!$AP$18*(1+$J$5)),"",VLOOKUP(CONCATENATE(Budget!$AQ$13,Budget!$K$6,Budget!$J$6),Budget!$CP$4:$CX$310,9)+Budget!$AP$18*(1+$J$5))</f>
        <v/>
      </c>
      <c r="N166" s="65" t="str">
        <f>IF(M166&lt;&gt;"",$N$5,"")</f>
        <v/>
      </c>
      <c r="O166" s="92" t="str">
        <f>IF(ISERROR(VLOOKUP(CONCATENATE(Budget!$AQ$13,Budget!$K$6,Budget!$J$6),Budget!$CP$4:$CX$310,9)+Budget!$AP$18*(1+$J$5)),"",VLOOKUP(CONCATENATE(Budget!$AQ$13,Budget!$K$6,Budget!$J$6),Budget!$CP$4:$CX$310,9)+Budget!$AP$18*(1+$J$5))</f>
        <v/>
      </c>
      <c r="P166" s="388" t="str">
        <f t="shared" si="74"/>
        <v/>
      </c>
      <c r="Q166" s="388" t="str">
        <f t="shared" si="75"/>
        <v/>
      </c>
      <c r="R166" s="388"/>
      <c r="S166" s="37"/>
      <c r="T166" s="262" t="str">
        <f t="shared" si="79"/>
        <v/>
      </c>
    </row>
    <row r="167" spans="2:20" ht="11.4" customHeight="1">
      <c r="B167" s="18" t="str">
        <f t="shared" si="69"/>
        <v>TraditionalCommunity Supports WaiverSupported Employment</v>
      </c>
      <c r="C167" s="18" t="s">
        <v>152</v>
      </c>
      <c r="D167" s="18" t="s">
        <v>200</v>
      </c>
      <c r="E167" s="18" t="s">
        <v>33</v>
      </c>
      <c r="F167" s="18" t="s">
        <v>377</v>
      </c>
      <c r="G167" s="18" t="s">
        <v>41</v>
      </c>
      <c r="H167" s="18" t="s">
        <v>134</v>
      </c>
      <c r="I167" s="92" t="str">
        <f>IF(ISERROR((VLOOKUP(CONCATENATE(Budget!$AQ$13,Budget!$K$8,Budget!$J$8),Budget!$CF$4:$CN$310,9)+Budget!$AP$18)),"",(VLOOKUP(CONCATENATE(Budget!$AQ$13,Budget!$K$8,Budget!$J$8),Budget!$CF$4:$CN$310,9)+Budget!$AP$18))</f>
        <v/>
      </c>
      <c r="J167" s="96" t="str">
        <f t="shared" si="61"/>
        <v/>
      </c>
      <c r="K167" s="92" t="str">
        <f>IF(ISERROR((VLOOKUP(CONCATENATE(Budget!$AQ$13,Budget!$K$8,Budget!$J$8),Budget!$CP$4:$CX$310,9)+(Budget!$AP$18*(1+$J$5)))),"",(VLOOKUP(CONCATENATE(Budget!$AQ$13,Budget!$K$8,Budget!$J$8),Budget!$CP$4:$CX$310,9)+(Budget!$AP$18*(1+$J$5))))</f>
        <v/>
      </c>
      <c r="L167" s="96" t="str">
        <f t="shared" si="62"/>
        <v/>
      </c>
      <c r="M167" s="92" t="str">
        <f>IF(ISERROR((VLOOKUP(CONCATENATE(Budget!$AQ$13,Budget!$K$8,Budget!$J$8),Budget!$CP$4:$CX$310,9)+(Budget!$AP$18*(1+$J$5)))),"",(VLOOKUP(CONCATENATE(Budget!$AQ$13,Budget!$K$8,Budget!$J$8),Budget!$CP$4:$CX$310,9)+(Budget!$AP$18*(1+$J$5))))</f>
        <v/>
      </c>
      <c r="N167" s="96" t="str">
        <f>IF(M167&lt;&gt;"",$N$5,"")</f>
        <v/>
      </c>
      <c r="O167" s="92" t="str">
        <f>IF(ISERROR((VLOOKUP(CONCATENATE(Budget!$AQ$13,Budget!$K$8,Budget!$J$8),Budget!$CP$4:$CX$310,9)+(Budget!$AP$18*(1+$J$5)))),"",(VLOOKUP(CONCATENATE(Budget!$AQ$13,Budget!$K$8,Budget!$J$8),Budget!$CP$4:$CX$310,9)+(Budget!$AP$18*(1+$J$5))))</f>
        <v/>
      </c>
      <c r="P167" s="388" t="str">
        <f t="shared" si="74"/>
        <v/>
      </c>
      <c r="Q167" s="388" t="str">
        <f t="shared" si="75"/>
        <v/>
      </c>
      <c r="R167" s="388"/>
      <c r="S167" s="37" t="s">
        <v>212</v>
      </c>
      <c r="T167" s="262" t="str">
        <f t="shared" si="79"/>
        <v/>
      </c>
    </row>
    <row r="168" spans="2:20" ht="11.4" customHeight="1">
      <c r="B168" s="27" t="str">
        <f t="shared" si="69"/>
        <v>Self-DirectionCommunity Pathways WaiverSupported Living</v>
      </c>
      <c r="C168" s="27" t="s">
        <v>364</v>
      </c>
      <c r="D168" s="27" t="s">
        <v>298</v>
      </c>
      <c r="E168" s="27" t="s">
        <v>127</v>
      </c>
      <c r="F168" s="27" t="s">
        <v>315</v>
      </c>
      <c r="G168" s="27" t="s">
        <v>365</v>
      </c>
      <c r="H168" s="27" t="s">
        <v>134</v>
      </c>
      <c r="I168" s="36"/>
      <c r="J168" s="96"/>
      <c r="K168" s="36"/>
      <c r="L168" s="96"/>
      <c r="M168" s="92" t="str">
        <f>IF(ISERROR((VLOOKUP(CONCATENATE(Budget!$AQ$13,Budget!$K$7,Budget!$J$7),Budget!$DK$5:$DS$154,9)+(Budget!$AQ$18*(1+$J$5)))),"",(VLOOKUP(CONCATENATE(Budget!$AQ$13,Budget!$K$7,Budget!$J$7),Budget!$DK$5:$DS$154,9)+(Budget!$AQ$18*(1+$J$5))))</f>
        <v/>
      </c>
      <c r="N168" s="96"/>
      <c r="O168" s="92" t="str">
        <f>IF(ISERROR((VLOOKUP(CONCATENATE(Budget!$AQ$13,Budget!$K$7,Budget!$J$7),Budget!$DK$5:$DS$154,9)+(Budget!$AQ$18*(1+$J$5)))),"",(VLOOKUP(CONCATENATE(Budget!$AQ$13,Budget!$K$7,Budget!$J$7),Budget!$DK$5:$DS$154,9)+(Budget!$AQ$18*(1+$J$5))))</f>
        <v/>
      </c>
      <c r="P168" s="388">
        <f t="shared" si="74"/>
        <v>2330</v>
      </c>
      <c r="Q168" s="388">
        <f t="shared" si="75"/>
        <v>2423</v>
      </c>
      <c r="R168" s="388">
        <f t="shared" ref="R168:R169" si="82">+Q168*(1+$R$4)</f>
        <v>2519.92</v>
      </c>
      <c r="S168" s="39"/>
      <c r="T168" s="262">
        <f t="shared" si="79"/>
        <v>3.991416309012874E-2</v>
      </c>
    </row>
    <row r="169" spans="2:20" ht="11.4" customHeight="1">
      <c r="B169" s="27" t="str">
        <f t="shared" ref="B169:B183" si="83">CONCATENATE(E169,D169,C169)</f>
        <v>TraditionalCommunity Pathways WaiverSupported Living</v>
      </c>
      <c r="C169" s="27" t="s">
        <v>364</v>
      </c>
      <c r="D169" s="27" t="s">
        <v>298</v>
      </c>
      <c r="E169" s="18" t="s">
        <v>33</v>
      </c>
      <c r="F169" s="27" t="s">
        <v>315</v>
      </c>
      <c r="G169" s="27" t="s">
        <v>463</v>
      </c>
      <c r="H169" s="27" t="s">
        <v>134</v>
      </c>
      <c r="I169" s="36"/>
      <c r="J169" s="96"/>
      <c r="K169" s="36"/>
      <c r="L169" s="96"/>
      <c r="M169" s="92" t="str">
        <f>IF(ISERROR((VLOOKUP(CONCATENATE(Budget!$AQ$13,Budget!$K$7,Budget!$J$7),Budget!$DK$5:$DS$154,9)+(Budget!$AQ$18*(1+$J$5)))),"",(VLOOKUP(CONCATENATE(Budget!$AQ$13,Budget!$K$7,Budget!$J$7),Budget!$DK$5:$DS$154,9)+(Budget!$AQ$18*(1+$J$5))))</f>
        <v/>
      </c>
      <c r="N169" s="96"/>
      <c r="O169" s="92" t="str">
        <f>IF(ISERROR((VLOOKUP(CONCATENATE(Budget!$AQ$13,Budget!$K$7,Budget!$J$7),Budget!$DK$5:$DS$154,9)+(Budget!$AQ$18*(1+$J$5)))),"",(VLOOKUP(CONCATENATE(Budget!$AQ$13,Budget!$K$7,Budget!$J$7),Budget!$DK$5:$DS$154,9)+(Budget!$AQ$18*(1+$J$5))))</f>
        <v/>
      </c>
      <c r="P169" s="388">
        <f t="shared" si="74"/>
        <v>2330</v>
      </c>
      <c r="Q169" s="388">
        <f t="shared" si="75"/>
        <v>2423</v>
      </c>
      <c r="R169" s="388">
        <f t="shared" si="82"/>
        <v>2519.92</v>
      </c>
      <c r="S169" s="39"/>
      <c r="T169" s="262">
        <f t="shared" si="79"/>
        <v>3.991416309012874E-2</v>
      </c>
    </row>
    <row r="170" spans="2:20" ht="11.25" customHeight="1">
      <c r="B170" s="27" t="str">
        <f t="shared" si="83"/>
        <v>Self-DirectionCommunity Pathways WaiverTransition Services</v>
      </c>
      <c r="C170" s="27" t="s">
        <v>366</v>
      </c>
      <c r="D170" s="27" t="s">
        <v>298</v>
      </c>
      <c r="E170" s="27" t="s">
        <v>127</v>
      </c>
      <c r="F170" s="27" t="s">
        <v>154</v>
      </c>
      <c r="G170" s="27" t="s">
        <v>368</v>
      </c>
      <c r="H170" s="27" t="s">
        <v>142</v>
      </c>
      <c r="I170" s="38" t="s">
        <v>212</v>
      </c>
      <c r="J170" s="96" t="str">
        <f t="shared" ref="J170:J183" si="84">IF(I170&lt;&gt;"",$J$5,"")</f>
        <v/>
      </c>
      <c r="K170" s="38" t="str">
        <f t="shared" ref="K170:K183" si="85">IF(I170&lt;&gt;"",I170*(1+J170),I170)</f>
        <v/>
      </c>
      <c r="L170" s="96" t="str">
        <f t="shared" ref="L170:L184" si="86">IF(K170&lt;&gt;"",$L$5,"")</f>
        <v/>
      </c>
      <c r="M170" s="388" t="str">
        <f t="shared" ref="M170:M183" si="87">IF(K170&lt;&gt;"",K170*(1+L170),K170)</f>
        <v/>
      </c>
      <c r="N170" s="96" t="str">
        <f>IF(M170&lt;&gt;"",$L$5,"")</f>
        <v/>
      </c>
      <c r="O170" s="388" t="str">
        <f t="shared" ref="O170:O183" si="88">IF(M170&lt;&gt;"",M170*(1+N170),M170)</f>
        <v/>
      </c>
      <c r="P170" s="388" t="str">
        <f t="shared" si="74"/>
        <v/>
      </c>
      <c r="Q170" s="388" t="str">
        <f t="shared" si="75"/>
        <v/>
      </c>
      <c r="R170" s="388"/>
      <c r="S170" s="389">
        <v>5000</v>
      </c>
      <c r="T170" s="262" t="str">
        <f t="shared" si="79"/>
        <v/>
      </c>
    </row>
    <row r="171" spans="2:20" ht="11.4" customHeight="1">
      <c r="B171" s="18" t="str">
        <f t="shared" si="83"/>
        <v>TraditionalCommunity Pathways WaiverTransition Services</v>
      </c>
      <c r="C171" s="18" t="s">
        <v>366</v>
      </c>
      <c r="D171" s="18" t="s">
        <v>298</v>
      </c>
      <c r="E171" s="18" t="s">
        <v>33</v>
      </c>
      <c r="F171" s="18" t="s">
        <v>154</v>
      </c>
      <c r="G171" s="18" t="s">
        <v>367</v>
      </c>
      <c r="H171" s="18" t="s">
        <v>142</v>
      </c>
      <c r="I171" s="36" t="s">
        <v>212</v>
      </c>
      <c r="J171" s="65" t="str">
        <f t="shared" si="84"/>
        <v/>
      </c>
      <c r="K171" s="36" t="str">
        <f t="shared" si="85"/>
        <v/>
      </c>
      <c r="L171" s="65" t="str">
        <f t="shared" si="86"/>
        <v/>
      </c>
      <c r="M171" s="388" t="str">
        <f t="shared" si="87"/>
        <v/>
      </c>
      <c r="N171" s="65" t="str">
        <f>IF(M171&lt;&gt;"",$L$5,"")</f>
        <v/>
      </c>
      <c r="O171" s="388" t="str">
        <f t="shared" si="88"/>
        <v/>
      </c>
      <c r="P171" s="388" t="str">
        <f t="shared" si="74"/>
        <v/>
      </c>
      <c r="Q171" s="388" t="str">
        <f t="shared" si="75"/>
        <v/>
      </c>
      <c r="R171" s="388"/>
      <c r="S171" s="389">
        <v>5000</v>
      </c>
      <c r="T171" s="262" t="str">
        <f t="shared" si="79"/>
        <v/>
      </c>
    </row>
    <row r="172" spans="2:20" ht="11.4" customHeight="1">
      <c r="B172" s="27" t="str">
        <f t="shared" si="83"/>
        <v>Self-DirectionCommunity Pathways WaiverTransportation</v>
      </c>
      <c r="C172" s="27" t="s">
        <v>116</v>
      </c>
      <c r="D172" s="27" t="s">
        <v>298</v>
      </c>
      <c r="E172" s="27" t="s">
        <v>127</v>
      </c>
      <c r="F172" s="27" t="s">
        <v>154</v>
      </c>
      <c r="G172" s="27" t="s">
        <v>370</v>
      </c>
      <c r="H172" s="27" t="s">
        <v>142</v>
      </c>
      <c r="I172" s="38" t="s">
        <v>212</v>
      </c>
      <c r="J172" s="96" t="str">
        <f t="shared" si="84"/>
        <v/>
      </c>
      <c r="K172" s="38" t="str">
        <f t="shared" si="85"/>
        <v/>
      </c>
      <c r="L172" s="96" t="str">
        <f t="shared" si="86"/>
        <v/>
      </c>
      <c r="M172" s="388" t="str">
        <f t="shared" si="87"/>
        <v/>
      </c>
      <c r="N172" s="96" t="str">
        <f>IF(M172&lt;&gt;"",$L$5,"")</f>
        <v/>
      </c>
      <c r="O172" s="388" t="str">
        <f t="shared" si="88"/>
        <v/>
      </c>
      <c r="P172" s="388" t="str">
        <f t="shared" si="74"/>
        <v/>
      </c>
      <c r="Q172" s="388" t="str">
        <f t="shared" si="75"/>
        <v/>
      </c>
      <c r="R172" s="388"/>
      <c r="S172" s="434">
        <v>10000000</v>
      </c>
      <c r="T172" s="262" t="str">
        <f t="shared" si="79"/>
        <v/>
      </c>
    </row>
    <row r="173" spans="2:20" ht="11.4" customHeight="1">
      <c r="B173" s="27" t="str">
        <f t="shared" si="83"/>
        <v>Self-DirectionCommunity Supports WaiverTransportation</v>
      </c>
      <c r="C173" s="27" t="s">
        <v>116</v>
      </c>
      <c r="D173" s="27" t="s">
        <v>200</v>
      </c>
      <c r="E173" s="27" t="s">
        <v>127</v>
      </c>
      <c r="F173" s="27" t="s">
        <v>154</v>
      </c>
      <c r="G173" s="27" t="s">
        <v>118</v>
      </c>
      <c r="H173" s="27" t="s">
        <v>142</v>
      </c>
      <c r="I173" s="38"/>
      <c r="J173" s="65" t="str">
        <f t="shared" si="84"/>
        <v/>
      </c>
      <c r="K173" s="38">
        <f t="shared" si="85"/>
        <v>0</v>
      </c>
      <c r="L173" s="65">
        <f t="shared" si="86"/>
        <v>3.5000000000000003E-2</v>
      </c>
      <c r="M173" s="388">
        <f t="shared" si="87"/>
        <v>0</v>
      </c>
      <c r="N173" s="65">
        <f>IF(M173&lt;&gt;"",$N$5,"")</f>
        <v>0.04</v>
      </c>
      <c r="O173" s="388">
        <f t="shared" si="88"/>
        <v>0</v>
      </c>
      <c r="P173" s="388" t="str">
        <f t="shared" si="74"/>
        <v/>
      </c>
      <c r="Q173" s="388" t="str">
        <f t="shared" si="75"/>
        <v/>
      </c>
      <c r="R173" s="388"/>
      <c r="S173" s="389">
        <v>25000</v>
      </c>
      <c r="T173" s="262" t="str">
        <f t="shared" si="79"/>
        <v/>
      </c>
    </row>
    <row r="174" spans="2:20" ht="11.4" customHeight="1">
      <c r="B174" s="18" t="str">
        <f t="shared" si="83"/>
        <v>Self-DirectionFamily Supports WaiverTransportation</v>
      </c>
      <c r="C174" s="18" t="s">
        <v>116</v>
      </c>
      <c r="D174" s="18" t="s">
        <v>199</v>
      </c>
      <c r="E174" s="18" t="s">
        <v>127</v>
      </c>
      <c r="F174" s="18" t="s">
        <v>154</v>
      </c>
      <c r="G174" s="18" t="s">
        <v>120</v>
      </c>
      <c r="H174" s="18" t="s">
        <v>142</v>
      </c>
      <c r="I174" s="36" t="s">
        <v>212</v>
      </c>
      <c r="J174" s="96" t="str">
        <f t="shared" si="84"/>
        <v/>
      </c>
      <c r="K174" s="36" t="str">
        <f t="shared" si="85"/>
        <v/>
      </c>
      <c r="L174" s="96" t="str">
        <f t="shared" si="86"/>
        <v/>
      </c>
      <c r="M174" s="388" t="str">
        <f t="shared" si="87"/>
        <v/>
      </c>
      <c r="N174" s="96" t="str">
        <f t="shared" ref="N174:N184" si="89">IF(M174&lt;&gt;"",$L$5,"")</f>
        <v/>
      </c>
      <c r="O174" s="388" t="str">
        <f t="shared" si="88"/>
        <v/>
      </c>
      <c r="P174" s="388" t="str">
        <f t="shared" si="74"/>
        <v/>
      </c>
      <c r="Q174" s="388" t="str">
        <f t="shared" si="75"/>
        <v/>
      </c>
      <c r="R174" s="388"/>
      <c r="S174" s="389">
        <v>12000</v>
      </c>
      <c r="T174" s="262" t="str">
        <f t="shared" si="79"/>
        <v/>
      </c>
    </row>
    <row r="175" spans="2:20" ht="11.4" customHeight="1">
      <c r="B175" s="18" t="str">
        <f t="shared" si="83"/>
        <v>TraditionalCommunity Pathways WaiverTransportation</v>
      </c>
      <c r="C175" s="18" t="s">
        <v>116</v>
      </c>
      <c r="D175" s="18" t="s">
        <v>298</v>
      </c>
      <c r="E175" s="18" t="s">
        <v>33</v>
      </c>
      <c r="F175" s="18" t="s">
        <v>154</v>
      </c>
      <c r="G175" s="18" t="s">
        <v>369</v>
      </c>
      <c r="H175" s="18" t="s">
        <v>142</v>
      </c>
      <c r="I175" s="36" t="s">
        <v>212</v>
      </c>
      <c r="J175" s="65" t="str">
        <f t="shared" si="84"/>
        <v/>
      </c>
      <c r="K175" s="36" t="str">
        <f t="shared" si="85"/>
        <v/>
      </c>
      <c r="L175" s="65" t="str">
        <f t="shared" si="86"/>
        <v/>
      </c>
      <c r="M175" s="388" t="str">
        <f t="shared" si="87"/>
        <v/>
      </c>
      <c r="N175" s="65" t="str">
        <f t="shared" si="89"/>
        <v/>
      </c>
      <c r="O175" s="388" t="str">
        <f t="shared" si="88"/>
        <v/>
      </c>
      <c r="P175" s="388" t="str">
        <f t="shared" si="74"/>
        <v/>
      </c>
      <c r="Q175" s="388" t="str">
        <f t="shared" si="75"/>
        <v/>
      </c>
      <c r="R175" s="388"/>
      <c r="S175" s="389">
        <v>7500</v>
      </c>
      <c r="T175" s="262" t="str">
        <f t="shared" si="79"/>
        <v/>
      </c>
    </row>
    <row r="176" spans="2:20" ht="11.4" customHeight="1">
      <c r="B176" s="27" t="str">
        <f t="shared" si="83"/>
        <v>TraditionalCommunity Supports WaiverTransportation</v>
      </c>
      <c r="C176" s="27" t="s">
        <v>116</v>
      </c>
      <c r="D176" s="27" t="s">
        <v>200</v>
      </c>
      <c r="E176" s="27" t="s">
        <v>33</v>
      </c>
      <c r="F176" s="27" t="s">
        <v>154</v>
      </c>
      <c r="G176" s="27" t="s">
        <v>117</v>
      </c>
      <c r="H176" s="27" t="s">
        <v>142</v>
      </c>
      <c r="I176" s="38" t="s">
        <v>212</v>
      </c>
      <c r="J176" s="65" t="str">
        <f t="shared" si="84"/>
        <v/>
      </c>
      <c r="K176" s="38" t="str">
        <f t="shared" si="85"/>
        <v/>
      </c>
      <c r="L176" s="65" t="str">
        <f t="shared" si="86"/>
        <v/>
      </c>
      <c r="M176" s="388" t="str">
        <f t="shared" si="87"/>
        <v/>
      </c>
      <c r="N176" s="65" t="str">
        <f t="shared" si="89"/>
        <v/>
      </c>
      <c r="O176" s="388" t="str">
        <f t="shared" si="88"/>
        <v/>
      </c>
      <c r="P176" s="388" t="str">
        <f t="shared" si="74"/>
        <v/>
      </c>
      <c r="Q176" s="388" t="str">
        <f t="shared" si="75"/>
        <v/>
      </c>
      <c r="R176" s="388"/>
      <c r="S176" s="389">
        <v>25000</v>
      </c>
      <c r="T176" s="262" t="str">
        <f t="shared" si="79"/>
        <v/>
      </c>
    </row>
    <row r="177" spans="2:20" ht="11.4" customHeight="1">
      <c r="B177" s="27" t="str">
        <f t="shared" si="83"/>
        <v>TraditionalFamily Supports WaiverTransportation</v>
      </c>
      <c r="C177" s="27" t="s">
        <v>116</v>
      </c>
      <c r="D177" s="27" t="s">
        <v>199</v>
      </c>
      <c r="E177" s="27" t="s">
        <v>33</v>
      </c>
      <c r="F177" s="27" t="s">
        <v>154</v>
      </c>
      <c r="G177" s="27" t="s">
        <v>119</v>
      </c>
      <c r="H177" s="27" t="s">
        <v>142</v>
      </c>
      <c r="I177" s="38" t="s">
        <v>212</v>
      </c>
      <c r="J177" s="65" t="str">
        <f t="shared" si="84"/>
        <v/>
      </c>
      <c r="K177" s="38" t="str">
        <f t="shared" si="85"/>
        <v/>
      </c>
      <c r="L177" s="65" t="str">
        <f t="shared" si="86"/>
        <v/>
      </c>
      <c r="M177" s="388" t="str">
        <f t="shared" si="87"/>
        <v/>
      </c>
      <c r="N177" s="65" t="str">
        <f t="shared" si="89"/>
        <v/>
      </c>
      <c r="O177" s="388" t="str">
        <f t="shared" si="88"/>
        <v/>
      </c>
      <c r="P177" s="388" t="str">
        <f t="shared" si="74"/>
        <v/>
      </c>
      <c r="Q177" s="388" t="str">
        <f t="shared" si="75"/>
        <v/>
      </c>
      <c r="R177" s="388"/>
      <c r="S177" s="389">
        <v>12000</v>
      </c>
      <c r="T177" s="262" t="str">
        <f t="shared" si="79"/>
        <v/>
      </c>
    </row>
    <row r="178" spans="2:20" ht="11.4" customHeight="1">
      <c r="B178" s="18" t="str">
        <f t="shared" si="83"/>
        <v>Self-DirectionCommunity Pathways WaiverVehicle Modification</v>
      </c>
      <c r="C178" s="27" t="s">
        <v>121</v>
      </c>
      <c r="D178" s="27" t="s">
        <v>298</v>
      </c>
      <c r="E178" s="27" t="s">
        <v>127</v>
      </c>
      <c r="F178" s="27" t="s">
        <v>154</v>
      </c>
      <c r="G178" s="27" t="s">
        <v>372</v>
      </c>
      <c r="H178" s="27" t="s">
        <v>142</v>
      </c>
      <c r="I178" s="36" t="s">
        <v>212</v>
      </c>
      <c r="J178" s="65" t="str">
        <f t="shared" si="84"/>
        <v/>
      </c>
      <c r="K178" s="36" t="str">
        <f t="shared" si="85"/>
        <v/>
      </c>
      <c r="L178" s="65" t="str">
        <f t="shared" si="86"/>
        <v/>
      </c>
      <c r="M178" s="388" t="str">
        <f t="shared" si="87"/>
        <v/>
      </c>
      <c r="N178" s="65" t="str">
        <f t="shared" si="89"/>
        <v/>
      </c>
      <c r="O178" s="388" t="str">
        <f t="shared" si="88"/>
        <v/>
      </c>
      <c r="P178" s="388" t="str">
        <f t="shared" si="74"/>
        <v/>
      </c>
      <c r="Q178" s="388" t="str">
        <f t="shared" si="75"/>
        <v/>
      </c>
      <c r="R178" s="388"/>
      <c r="S178" s="389">
        <v>15000</v>
      </c>
      <c r="T178" s="262" t="str">
        <f t="shared" si="79"/>
        <v/>
      </c>
    </row>
    <row r="179" spans="2:20" ht="11.4" customHeight="1">
      <c r="B179" s="18" t="str">
        <f t="shared" si="83"/>
        <v>Self-DirectionCommunity Supports WaiverVehicle Modification</v>
      </c>
      <c r="C179" s="18" t="s">
        <v>121</v>
      </c>
      <c r="D179" s="18" t="s">
        <v>200</v>
      </c>
      <c r="E179" s="18" t="s">
        <v>127</v>
      </c>
      <c r="F179" s="18" t="s">
        <v>154</v>
      </c>
      <c r="G179" s="18" t="s">
        <v>123</v>
      </c>
      <c r="H179" s="18" t="s">
        <v>142</v>
      </c>
      <c r="I179" s="36" t="s">
        <v>212</v>
      </c>
      <c r="J179" s="96" t="str">
        <f t="shared" si="84"/>
        <v/>
      </c>
      <c r="K179" s="36" t="str">
        <f t="shared" si="85"/>
        <v/>
      </c>
      <c r="L179" s="96" t="str">
        <f t="shared" si="86"/>
        <v/>
      </c>
      <c r="M179" s="388" t="str">
        <f t="shared" si="87"/>
        <v/>
      </c>
      <c r="N179" s="96" t="str">
        <f t="shared" si="89"/>
        <v/>
      </c>
      <c r="O179" s="388" t="str">
        <f t="shared" si="88"/>
        <v/>
      </c>
      <c r="P179" s="388" t="str">
        <f t="shared" si="74"/>
        <v/>
      </c>
      <c r="Q179" s="388" t="str">
        <f t="shared" si="75"/>
        <v/>
      </c>
      <c r="R179" s="388"/>
      <c r="S179" s="389">
        <v>15000</v>
      </c>
      <c r="T179" s="262" t="str">
        <f t="shared" si="79"/>
        <v/>
      </c>
    </row>
    <row r="180" spans="2:20" ht="11.4" customHeight="1">
      <c r="B180" s="27" t="str">
        <f t="shared" si="83"/>
        <v>Self-DirectionFamily Supports WaiverVehicle Modification</v>
      </c>
      <c r="C180" s="27" t="s">
        <v>121</v>
      </c>
      <c r="D180" s="27" t="s">
        <v>199</v>
      </c>
      <c r="E180" s="27" t="s">
        <v>127</v>
      </c>
      <c r="F180" s="27" t="s">
        <v>154</v>
      </c>
      <c r="G180" s="27" t="s">
        <v>125</v>
      </c>
      <c r="H180" s="27" t="s">
        <v>142</v>
      </c>
      <c r="I180" s="38" t="s">
        <v>212</v>
      </c>
      <c r="J180" s="65" t="str">
        <f t="shared" si="84"/>
        <v/>
      </c>
      <c r="K180" s="38" t="str">
        <f t="shared" si="85"/>
        <v/>
      </c>
      <c r="L180" s="65" t="str">
        <f t="shared" si="86"/>
        <v/>
      </c>
      <c r="M180" s="388" t="str">
        <f t="shared" si="87"/>
        <v/>
      </c>
      <c r="N180" s="65" t="str">
        <f t="shared" si="89"/>
        <v/>
      </c>
      <c r="O180" s="388" t="str">
        <f t="shared" si="88"/>
        <v/>
      </c>
      <c r="P180" s="388" t="str">
        <f t="shared" si="74"/>
        <v/>
      </c>
      <c r="Q180" s="388" t="str">
        <f t="shared" si="75"/>
        <v/>
      </c>
      <c r="R180" s="388"/>
      <c r="S180" s="389">
        <v>12000</v>
      </c>
      <c r="T180" s="262" t="str">
        <f t="shared" si="79"/>
        <v/>
      </c>
    </row>
    <row r="181" spans="2:20" ht="11.4" customHeight="1">
      <c r="B181" s="18" t="str">
        <f t="shared" si="83"/>
        <v>TraditionalCommunity Pathways WaiverVehicle Modification</v>
      </c>
      <c r="C181" s="18" t="s">
        <v>121</v>
      </c>
      <c r="D181" s="18" t="s">
        <v>298</v>
      </c>
      <c r="E181" s="18" t="s">
        <v>33</v>
      </c>
      <c r="F181" s="18" t="s">
        <v>154</v>
      </c>
      <c r="G181" s="18" t="s">
        <v>371</v>
      </c>
      <c r="H181" s="18" t="s">
        <v>142</v>
      </c>
      <c r="I181" s="36" t="s">
        <v>212</v>
      </c>
      <c r="J181" s="65" t="str">
        <f t="shared" si="84"/>
        <v/>
      </c>
      <c r="K181" s="36" t="str">
        <f t="shared" si="85"/>
        <v/>
      </c>
      <c r="L181" s="65" t="str">
        <f t="shared" si="86"/>
        <v/>
      </c>
      <c r="M181" s="388" t="str">
        <f t="shared" si="87"/>
        <v/>
      </c>
      <c r="N181" s="65" t="str">
        <f t="shared" si="89"/>
        <v/>
      </c>
      <c r="O181" s="388" t="str">
        <f t="shared" si="88"/>
        <v/>
      </c>
      <c r="P181" s="388" t="str">
        <f t="shared" si="74"/>
        <v/>
      </c>
      <c r="Q181" s="388" t="str">
        <f t="shared" si="75"/>
        <v/>
      </c>
      <c r="R181" s="388"/>
      <c r="S181" s="389">
        <v>15000</v>
      </c>
      <c r="T181" s="262" t="str">
        <f t="shared" si="79"/>
        <v/>
      </c>
    </row>
    <row r="182" spans="2:20" ht="11.4" customHeight="1">
      <c r="B182" s="18" t="str">
        <f t="shared" si="83"/>
        <v>TraditionalCommunity Supports WaiverVehicle Modification</v>
      </c>
      <c r="C182" s="18" t="s">
        <v>121</v>
      </c>
      <c r="D182" s="18" t="s">
        <v>200</v>
      </c>
      <c r="E182" s="18" t="s">
        <v>33</v>
      </c>
      <c r="F182" s="18" t="s">
        <v>154</v>
      </c>
      <c r="G182" s="18" t="s">
        <v>122</v>
      </c>
      <c r="H182" s="18" t="s">
        <v>142</v>
      </c>
      <c r="I182" s="36" t="s">
        <v>212</v>
      </c>
      <c r="J182" s="96" t="str">
        <f t="shared" si="84"/>
        <v/>
      </c>
      <c r="K182" s="36" t="str">
        <f t="shared" si="85"/>
        <v/>
      </c>
      <c r="L182" s="96" t="str">
        <f t="shared" si="86"/>
        <v/>
      </c>
      <c r="M182" s="388" t="str">
        <f t="shared" si="87"/>
        <v/>
      </c>
      <c r="N182" s="96" t="str">
        <f t="shared" si="89"/>
        <v/>
      </c>
      <c r="O182" s="388" t="str">
        <f t="shared" si="88"/>
        <v/>
      </c>
      <c r="P182" s="388" t="str">
        <f t="shared" si="74"/>
        <v/>
      </c>
      <c r="Q182" s="388" t="str">
        <f t="shared" si="75"/>
        <v/>
      </c>
      <c r="R182" s="388"/>
      <c r="S182" s="389">
        <v>15000</v>
      </c>
      <c r="T182" s="262" t="str">
        <f t="shared" si="79"/>
        <v/>
      </c>
    </row>
    <row r="183" spans="2:20">
      <c r="B183" s="18" t="str">
        <f t="shared" si="83"/>
        <v>TraditionalFamily Supports WaiverVehicle Modification</v>
      </c>
      <c r="C183" s="18" t="s">
        <v>121</v>
      </c>
      <c r="D183" s="18" t="s">
        <v>199</v>
      </c>
      <c r="E183" s="18" t="s">
        <v>33</v>
      </c>
      <c r="F183" s="18" t="s">
        <v>154</v>
      </c>
      <c r="G183" s="18" t="s">
        <v>124</v>
      </c>
      <c r="H183" s="18" t="s">
        <v>142</v>
      </c>
      <c r="I183" s="36" t="s">
        <v>212</v>
      </c>
      <c r="J183" s="96" t="str">
        <f t="shared" si="84"/>
        <v/>
      </c>
      <c r="K183" s="36" t="str">
        <f t="shared" si="85"/>
        <v/>
      </c>
      <c r="L183" s="96" t="str">
        <f t="shared" si="86"/>
        <v/>
      </c>
      <c r="M183" s="388" t="str">
        <f t="shared" si="87"/>
        <v/>
      </c>
      <c r="N183" s="96" t="str">
        <f t="shared" si="89"/>
        <v/>
      </c>
      <c r="O183" s="388" t="str">
        <f t="shared" si="88"/>
        <v/>
      </c>
      <c r="P183" s="388" t="str">
        <f t="shared" si="74"/>
        <v/>
      </c>
      <c r="Q183" s="388" t="str">
        <f t="shared" si="75"/>
        <v/>
      </c>
      <c r="R183" s="388"/>
      <c r="S183" s="389">
        <v>12000</v>
      </c>
      <c r="T183" s="262" t="str">
        <f t="shared" si="79"/>
        <v/>
      </c>
    </row>
    <row r="184" spans="2:20">
      <c r="L184" t="str">
        <f t="shared" si="86"/>
        <v/>
      </c>
      <c r="N184" t="str">
        <f t="shared" si="89"/>
        <v/>
      </c>
    </row>
    <row r="187" spans="2:20">
      <c r="C187" s="201"/>
      <c r="D187" s="201"/>
    </row>
    <row r="188" spans="2:20">
      <c r="C188" s="201"/>
      <c r="D188" s="201"/>
      <c r="K188" s="241"/>
    </row>
    <row r="189" spans="2:20">
      <c r="C189" s="201"/>
      <c r="D189" s="201"/>
    </row>
  </sheetData>
  <sheetProtection selectLockedCells="1" selectUnlockedCells="1"/>
  <autoFilter ref="B7:S184" xr:uid="{00000000-0009-0000-0000-000005000000}"/>
  <sortState xmlns:xlrd2="http://schemas.microsoft.com/office/spreadsheetml/2017/richdata2" ref="B9:S183">
    <sortCondition ref="C9:C183"/>
  </sortState>
  <mergeCells count="1">
    <mergeCell ref="V5:Y8"/>
  </mergeCells>
  <pageMargins left="0.7" right="0.7" top="0.75" bottom="0.75" header="0.3" footer="0.3"/>
  <pageSetup orientation="portrait" horizontalDpi="1200" verticalDpi="1200" r:id="rId2"/>
  <ignoredErrors>
    <ignoredError sqref="S185 K185:M185" formula="1"/>
  </ignoredError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DF553-CC4B-44C8-B9F1-D2B8FDEB38B3}">
  <sheetPr>
    <tabColor rgb="FFFFC000"/>
  </sheetPr>
  <dimension ref="A1:F27"/>
  <sheetViews>
    <sheetView topLeftCell="AB1" workbookViewId="0">
      <selection activeCell="R22" sqref="R22"/>
    </sheetView>
  </sheetViews>
  <sheetFormatPr defaultRowHeight="14.4"/>
  <cols>
    <col min="2" max="2" width="20.6640625" customWidth="1"/>
  </cols>
  <sheetData>
    <row r="1" spans="1:6">
      <c r="A1" t="s">
        <v>799</v>
      </c>
      <c r="B1" t="s">
        <v>800</v>
      </c>
      <c r="C1" t="s">
        <v>802</v>
      </c>
      <c r="D1" t="s">
        <v>797</v>
      </c>
      <c r="E1" t="s">
        <v>798</v>
      </c>
      <c r="F1" t="s">
        <v>147</v>
      </c>
    </row>
    <row r="2" spans="1:6">
      <c r="A2" t="s">
        <v>15</v>
      </c>
      <c r="B2" t="s">
        <v>137</v>
      </c>
      <c r="D2">
        <v>30.36</v>
      </c>
      <c r="E2">
        <v>44.77</v>
      </c>
      <c r="F2">
        <v>1</v>
      </c>
    </row>
    <row r="3" spans="1:6">
      <c r="A3" t="s">
        <v>375</v>
      </c>
      <c r="B3" t="s">
        <v>376</v>
      </c>
      <c r="C3">
        <v>27.15</v>
      </c>
      <c r="D3">
        <v>27.15</v>
      </c>
      <c r="E3">
        <v>44.77</v>
      </c>
      <c r="F3">
        <v>1</v>
      </c>
    </row>
    <row r="4" spans="1:6">
      <c r="A4" t="s">
        <v>575</v>
      </c>
      <c r="B4" t="s">
        <v>152</v>
      </c>
      <c r="D4">
        <v>30.36</v>
      </c>
      <c r="E4">
        <v>44.77</v>
      </c>
      <c r="F4">
        <v>1</v>
      </c>
    </row>
    <row r="5" spans="1:6">
      <c r="A5" t="s">
        <v>375</v>
      </c>
      <c r="B5" t="s">
        <v>137</v>
      </c>
      <c r="D5">
        <v>32.17</v>
      </c>
      <c r="E5">
        <v>47.92</v>
      </c>
      <c r="F5">
        <v>2</v>
      </c>
    </row>
    <row r="6" spans="1:6">
      <c r="A6" t="s">
        <v>15</v>
      </c>
      <c r="B6" t="s">
        <v>376</v>
      </c>
      <c r="C6">
        <v>28.94</v>
      </c>
      <c r="D6">
        <v>28.94</v>
      </c>
      <c r="E6">
        <v>47.92</v>
      </c>
      <c r="F6">
        <v>2</v>
      </c>
    </row>
    <row r="7" spans="1:6">
      <c r="A7" t="s">
        <v>575</v>
      </c>
      <c r="B7" t="s">
        <v>152</v>
      </c>
      <c r="D7">
        <v>32.17</v>
      </c>
      <c r="E7">
        <v>47.92</v>
      </c>
      <c r="F7">
        <v>2</v>
      </c>
    </row>
    <row r="8" spans="1:6">
      <c r="A8" t="s">
        <v>15</v>
      </c>
      <c r="B8" t="s">
        <v>137</v>
      </c>
      <c r="D8">
        <v>30.36</v>
      </c>
      <c r="E8">
        <v>44.77</v>
      </c>
      <c r="F8">
        <v>3</v>
      </c>
    </row>
    <row r="9" spans="1:6">
      <c r="A9" t="s">
        <v>375</v>
      </c>
      <c r="B9" t="s">
        <v>376</v>
      </c>
      <c r="C9">
        <v>27.15</v>
      </c>
      <c r="D9">
        <v>27.15</v>
      </c>
      <c r="E9">
        <v>44.77</v>
      </c>
      <c r="F9">
        <v>3</v>
      </c>
    </row>
    <row r="10" spans="1:6">
      <c r="A10" t="s">
        <v>575</v>
      </c>
      <c r="B10" t="s">
        <v>152</v>
      </c>
      <c r="D10">
        <v>30.36</v>
      </c>
      <c r="E10">
        <v>44.77</v>
      </c>
      <c r="F10">
        <v>3</v>
      </c>
    </row>
    <row r="11" spans="1:6">
      <c r="A11" t="s">
        <v>15</v>
      </c>
      <c r="B11" t="s">
        <v>137</v>
      </c>
      <c r="D11">
        <v>30.36</v>
      </c>
      <c r="E11">
        <v>44.77</v>
      </c>
      <c r="F11">
        <v>4</v>
      </c>
    </row>
    <row r="12" spans="1:6">
      <c r="A12" t="s">
        <v>375</v>
      </c>
      <c r="B12" t="s">
        <v>376</v>
      </c>
      <c r="C12">
        <v>27.15</v>
      </c>
      <c r="D12">
        <v>27.15</v>
      </c>
      <c r="E12">
        <v>44.77</v>
      </c>
      <c r="F12">
        <v>4</v>
      </c>
    </row>
    <row r="13" spans="1:6">
      <c r="A13" t="s">
        <v>575</v>
      </c>
      <c r="B13" t="s">
        <v>152</v>
      </c>
      <c r="D13">
        <v>30.36</v>
      </c>
      <c r="E13">
        <v>44.77</v>
      </c>
      <c r="F13">
        <v>4</v>
      </c>
    </row>
    <row r="14" spans="1:6">
      <c r="A14" t="s">
        <v>15</v>
      </c>
      <c r="B14" t="s">
        <v>137</v>
      </c>
      <c r="D14">
        <v>31.8</v>
      </c>
      <c r="E14">
        <v>47.29</v>
      </c>
      <c r="F14">
        <v>5</v>
      </c>
    </row>
    <row r="15" spans="1:6">
      <c r="A15" t="s">
        <v>375</v>
      </c>
      <c r="B15" t="s">
        <v>376</v>
      </c>
      <c r="C15">
        <v>28.58</v>
      </c>
      <c r="D15">
        <v>28.58</v>
      </c>
      <c r="E15">
        <v>47.29</v>
      </c>
      <c r="F15">
        <v>5</v>
      </c>
    </row>
    <row r="16" spans="1:6">
      <c r="A16" t="s">
        <v>575</v>
      </c>
      <c r="B16" t="s">
        <v>152</v>
      </c>
      <c r="D16">
        <v>31.8</v>
      </c>
      <c r="E16">
        <v>47.29</v>
      </c>
      <c r="F16">
        <v>5</v>
      </c>
    </row>
    <row r="17" spans="1:6">
      <c r="A17" t="s">
        <v>15</v>
      </c>
      <c r="B17" t="s">
        <v>137</v>
      </c>
      <c r="D17">
        <v>30.36</v>
      </c>
      <c r="E17">
        <v>44.77</v>
      </c>
      <c r="F17">
        <v>6</v>
      </c>
    </row>
    <row r="18" spans="1:6">
      <c r="A18" t="s">
        <v>375</v>
      </c>
      <c r="B18" t="s">
        <v>376</v>
      </c>
      <c r="C18">
        <v>27.15</v>
      </c>
      <c r="D18">
        <v>27.15</v>
      </c>
      <c r="E18">
        <v>44.77</v>
      </c>
      <c r="F18">
        <v>6</v>
      </c>
    </row>
    <row r="19" spans="1:6">
      <c r="A19" t="s">
        <v>575</v>
      </c>
      <c r="B19" t="s">
        <v>152</v>
      </c>
      <c r="D19">
        <v>30.36</v>
      </c>
      <c r="E19">
        <v>44.77</v>
      </c>
      <c r="F19">
        <v>6</v>
      </c>
    </row>
    <row r="26" spans="1:6">
      <c r="B26" s="686" t="s">
        <v>801</v>
      </c>
      <c r="C26" s="686"/>
    </row>
    <row r="27" spans="1:6">
      <c r="B27" s="686" t="s">
        <v>806</v>
      </c>
    </row>
  </sheetData>
  <autoFilter ref="A1:F19" xr:uid="{F0FDF553-CC4B-44C8-B9F1-D2B8FDEB38B3}"/>
  <sortState xmlns:xlrd2="http://schemas.microsoft.com/office/spreadsheetml/2017/richdata2" ref="A2:F4">
    <sortCondition ref="A2:A4"/>
  </sortState>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A1F51-6545-459E-AD30-64876DDF7D55}">
  <sheetPr>
    <tabColor theme="9" tint="0.79998168889431442"/>
  </sheetPr>
  <dimension ref="A1:AH40"/>
  <sheetViews>
    <sheetView topLeftCell="H12" workbookViewId="0">
      <selection activeCell="R22" sqref="R22"/>
    </sheetView>
  </sheetViews>
  <sheetFormatPr defaultRowHeight="14.4"/>
  <cols>
    <col min="1" max="1" width="14" bestFit="1" customWidth="1"/>
    <col min="2" max="2" width="19" bestFit="1" customWidth="1"/>
    <col min="3" max="3" width="8" bestFit="1" customWidth="1"/>
    <col min="4" max="6" width="9" bestFit="1" customWidth="1"/>
    <col min="7" max="9" width="9.109375" customWidth="1"/>
    <col min="10" max="10" width="29" bestFit="1" customWidth="1"/>
    <col min="11" max="11" width="20.88671875" bestFit="1" customWidth="1"/>
    <col min="12" max="12" width="11.6640625" bestFit="1" customWidth="1"/>
    <col min="13" max="13" width="13.6640625" bestFit="1" customWidth="1"/>
    <col min="14" max="14" width="17.88671875" customWidth="1"/>
    <col min="15" max="15" width="23.44140625" bestFit="1" customWidth="1"/>
    <col min="16" max="16" width="16" bestFit="1" customWidth="1"/>
    <col min="17" max="17" width="14.21875" bestFit="1" customWidth="1"/>
    <col min="18" max="18" width="19.5546875" bestFit="1" customWidth="1"/>
    <col min="19" max="19" width="11.33203125" bestFit="1" customWidth="1"/>
    <col min="20" max="20" width="26.88671875" bestFit="1" customWidth="1"/>
  </cols>
  <sheetData>
    <row r="1" spans="1:34">
      <c r="J1" s="557" t="s">
        <v>749</v>
      </c>
      <c r="K1" s="476"/>
      <c r="L1" s="476"/>
      <c r="M1" s="476"/>
      <c r="AF1" t="s">
        <v>765</v>
      </c>
    </row>
    <row r="2" spans="1:34">
      <c r="J2" s="480" t="s">
        <v>750</v>
      </c>
      <c r="U2" t="s">
        <v>764</v>
      </c>
      <c r="AF2" t="s">
        <v>376</v>
      </c>
    </row>
    <row r="3" spans="1:34" ht="15" customHeight="1">
      <c r="J3" s="730" t="s">
        <v>751</v>
      </c>
      <c r="K3" s="730"/>
      <c r="L3" s="730"/>
      <c r="M3" s="730"/>
      <c r="N3" s="730"/>
      <c r="O3" s="730"/>
      <c r="P3" s="730"/>
      <c r="Q3" s="730"/>
      <c r="R3" s="730"/>
      <c r="S3" s="730"/>
      <c r="AE3" t="s">
        <v>147</v>
      </c>
      <c r="AF3" t="s">
        <v>760</v>
      </c>
      <c r="AG3" t="s">
        <v>761</v>
      </c>
      <c r="AH3" t="s">
        <v>762</v>
      </c>
    </row>
    <row r="4" spans="1:34">
      <c r="J4" s="730"/>
      <c r="K4" s="730"/>
      <c r="L4" s="730"/>
      <c r="M4" s="730"/>
      <c r="N4" s="730"/>
      <c r="O4" s="730"/>
      <c r="P4" s="730"/>
      <c r="Q4" s="730"/>
      <c r="R4" s="730"/>
      <c r="S4" s="730"/>
      <c r="AE4" s="5">
        <v>1</v>
      </c>
      <c r="AF4">
        <v>24.18</v>
      </c>
      <c r="AG4">
        <v>24.18</v>
      </c>
      <c r="AH4">
        <v>39.86</v>
      </c>
    </row>
    <row r="5" spans="1:34">
      <c r="J5" s="730"/>
      <c r="K5" s="730"/>
      <c r="L5" s="730"/>
      <c r="M5" s="730"/>
      <c r="N5" s="730"/>
      <c r="O5" s="730"/>
      <c r="P5" s="730"/>
      <c r="Q5" s="730"/>
      <c r="R5" s="730"/>
      <c r="S5" s="730"/>
      <c r="AE5" s="5"/>
    </row>
    <row r="6" spans="1:34">
      <c r="AE6" s="5"/>
    </row>
    <row r="7" spans="1:34">
      <c r="A7" s="479" t="s">
        <v>725</v>
      </c>
      <c r="B7" s="479"/>
      <c r="C7" s="479"/>
      <c r="D7" s="479"/>
      <c r="E7" s="479"/>
      <c r="F7" s="479"/>
      <c r="G7" s="479"/>
      <c r="H7" s="479"/>
      <c r="I7" s="479"/>
      <c r="J7" s="22" t="s">
        <v>716</v>
      </c>
      <c r="O7" s="22" t="s">
        <v>716</v>
      </c>
      <c r="AE7" s="5"/>
    </row>
    <row r="8" spans="1:34">
      <c r="J8" s="535" t="s">
        <v>731</v>
      </c>
      <c r="K8" s="535"/>
      <c r="L8" s="535"/>
      <c r="M8" s="535"/>
      <c r="N8" s="535"/>
      <c r="AE8" s="5"/>
    </row>
    <row r="9" spans="1:34">
      <c r="AE9" s="5"/>
    </row>
    <row r="10" spans="1:34">
      <c r="A10" s="474" t="s">
        <v>794</v>
      </c>
      <c r="B10" t="s">
        <v>691</v>
      </c>
      <c r="J10" s="731" t="s">
        <v>692</v>
      </c>
      <c r="K10" s="731"/>
      <c r="O10" s="731" t="s">
        <v>805</v>
      </c>
      <c r="P10" s="731"/>
      <c r="Q10" s="731"/>
      <c r="R10" s="731"/>
      <c r="AE10" s="5"/>
      <c r="AF10" t="s">
        <v>758</v>
      </c>
    </row>
    <row r="11" spans="1:34">
      <c r="A11" s="474" t="s">
        <v>11</v>
      </c>
      <c r="B11" t="s">
        <v>16</v>
      </c>
      <c r="L11" t="s">
        <v>809</v>
      </c>
      <c r="AE11" s="5">
        <v>1</v>
      </c>
      <c r="AG11">
        <v>27.03</v>
      </c>
    </row>
    <row r="12" spans="1:34">
      <c r="K12" s="535" t="s">
        <v>774</v>
      </c>
      <c r="L12" t="s">
        <v>685</v>
      </c>
      <c r="M12" s="535" t="s">
        <v>808</v>
      </c>
      <c r="Q12" s="535"/>
      <c r="AE12" s="5"/>
    </row>
    <row r="13" spans="1:34">
      <c r="A13" s="474" t="s">
        <v>795</v>
      </c>
      <c r="B13" s="474" t="s">
        <v>694</v>
      </c>
      <c r="J13" s="474" t="s">
        <v>695</v>
      </c>
      <c r="K13" t="s">
        <v>796</v>
      </c>
      <c r="O13" s="474" t="s">
        <v>695</v>
      </c>
      <c r="P13" t="s">
        <v>804</v>
      </c>
      <c r="Q13" s="535" t="s">
        <v>697</v>
      </c>
      <c r="R13" t="s">
        <v>803</v>
      </c>
      <c r="AE13" s="5"/>
    </row>
    <row r="14" spans="1:34">
      <c r="A14" s="474" t="s">
        <v>698</v>
      </c>
      <c r="B14">
        <v>1</v>
      </c>
      <c r="C14">
        <v>2</v>
      </c>
      <c r="D14">
        <v>3</v>
      </c>
      <c r="E14">
        <v>4</v>
      </c>
      <c r="F14">
        <v>5</v>
      </c>
      <c r="J14" s="506" t="s">
        <v>699</v>
      </c>
      <c r="K14" s="535">
        <v>50.32</v>
      </c>
      <c r="L14">
        <v>44.8</v>
      </c>
      <c r="M14" s="535">
        <f>AVERAGE(K14:L14)</f>
        <v>47.56</v>
      </c>
      <c r="O14" s="506" t="s">
        <v>137</v>
      </c>
      <c r="P14" s="697"/>
      <c r="Q14" s="697"/>
      <c r="R14" s="697"/>
      <c r="AE14" s="5"/>
    </row>
    <row r="15" spans="1:34">
      <c r="A15" s="506">
        <v>1</v>
      </c>
      <c r="B15" s="685">
        <v>28.2</v>
      </c>
      <c r="C15" s="685">
        <v>50.48</v>
      </c>
      <c r="D15" s="685">
        <v>86.05</v>
      </c>
      <c r="E15" s="685">
        <v>139.38999999999999</v>
      </c>
      <c r="F15" s="685">
        <v>199.89</v>
      </c>
      <c r="J15" s="506" t="s">
        <v>691</v>
      </c>
      <c r="K15" s="535">
        <v>90.89</v>
      </c>
      <c r="L15">
        <v>80.92</v>
      </c>
      <c r="M15" s="696">
        <f>AVERAGE(K15:L15)</f>
        <v>85.905000000000001</v>
      </c>
      <c r="N15" s="617" t="s">
        <v>757</v>
      </c>
      <c r="O15" s="507">
        <v>1</v>
      </c>
      <c r="P15" s="697"/>
      <c r="Q15" s="697">
        <v>30.36</v>
      </c>
      <c r="R15" s="697">
        <v>44.77</v>
      </c>
      <c r="AE15" s="5"/>
    </row>
    <row r="16" spans="1:34">
      <c r="A16" s="506">
        <v>2</v>
      </c>
      <c r="B16" s="685">
        <v>30.84</v>
      </c>
      <c r="C16" s="685">
        <v>53.12</v>
      </c>
      <c r="D16" s="685">
        <v>88.72</v>
      </c>
      <c r="E16" s="685">
        <v>142.04</v>
      </c>
      <c r="F16" s="685">
        <v>202.5</v>
      </c>
      <c r="J16" s="506" t="s">
        <v>700</v>
      </c>
      <c r="K16">
        <v>50.32</v>
      </c>
      <c r="L16">
        <v>44.8</v>
      </c>
      <c r="M16" s="535">
        <f>AVERAGE(K16:L16)</f>
        <v>47.56</v>
      </c>
      <c r="O16" s="507">
        <v>2</v>
      </c>
      <c r="P16" s="697"/>
      <c r="Q16" s="697">
        <v>32.17</v>
      </c>
      <c r="R16" s="697">
        <v>47.92</v>
      </c>
      <c r="AE16" s="5"/>
    </row>
    <row r="17" spans="1:33">
      <c r="A17" s="506">
        <v>3</v>
      </c>
      <c r="B17" s="685">
        <v>35.11</v>
      </c>
      <c r="C17" s="685">
        <v>57.38</v>
      </c>
      <c r="D17" s="685">
        <v>92.93</v>
      </c>
      <c r="E17" s="685">
        <v>146.31</v>
      </c>
      <c r="F17" s="685">
        <v>206.76</v>
      </c>
      <c r="O17" s="507">
        <v>3</v>
      </c>
      <c r="P17" s="697"/>
      <c r="Q17" s="697">
        <v>30.36</v>
      </c>
      <c r="R17" s="697">
        <v>44.77</v>
      </c>
      <c r="AE17" s="5"/>
      <c r="AF17" t="s">
        <v>759</v>
      </c>
    </row>
    <row r="18" spans="1:33">
      <c r="A18" s="506">
        <v>4</v>
      </c>
      <c r="B18" s="685">
        <v>40.869999999999997</v>
      </c>
      <c r="C18" s="685">
        <v>63.15</v>
      </c>
      <c r="D18" s="685">
        <v>98.69</v>
      </c>
      <c r="E18" s="685">
        <v>152.07</v>
      </c>
      <c r="F18" s="685">
        <v>212.51</v>
      </c>
      <c r="J18" t="s">
        <v>810</v>
      </c>
      <c r="O18" s="507">
        <v>4</v>
      </c>
      <c r="P18" s="697"/>
      <c r="Q18" s="697">
        <v>30.36</v>
      </c>
      <c r="R18" s="697">
        <v>44.77</v>
      </c>
      <c r="AE18" s="5">
        <v>1</v>
      </c>
      <c r="AG18">
        <v>27.03</v>
      </c>
    </row>
    <row r="19" spans="1:33">
      <c r="A19" s="506">
        <v>5</v>
      </c>
      <c r="B19" s="685">
        <v>45.91</v>
      </c>
      <c r="C19" s="685">
        <v>68.2</v>
      </c>
      <c r="D19" s="685">
        <v>103.79</v>
      </c>
      <c r="E19" s="685">
        <v>157.12</v>
      </c>
      <c r="F19" s="685">
        <v>217.58</v>
      </c>
      <c r="O19" s="507">
        <v>5</v>
      </c>
      <c r="P19" s="697"/>
      <c r="Q19" s="697">
        <v>31.8</v>
      </c>
      <c r="R19" s="697">
        <v>47.29</v>
      </c>
    </row>
    <row r="20" spans="1:33">
      <c r="O20" s="507">
        <v>6</v>
      </c>
      <c r="P20" s="697"/>
      <c r="Q20" s="697">
        <v>30.36</v>
      </c>
      <c r="R20" s="697">
        <v>44.77</v>
      </c>
    </row>
    <row r="21" spans="1:33">
      <c r="O21" s="506" t="s">
        <v>376</v>
      </c>
      <c r="P21" s="697"/>
      <c r="Q21" s="697"/>
      <c r="R21" s="697"/>
    </row>
    <row r="22" spans="1:33" ht="15" customHeight="1">
      <c r="A22" s="733" t="s">
        <v>726</v>
      </c>
      <c r="B22" s="734"/>
      <c r="C22" s="734"/>
      <c r="D22" s="734"/>
      <c r="E22" s="734"/>
      <c r="F22" s="734"/>
      <c r="G22" s="734"/>
      <c r="H22" s="734"/>
      <c r="I22" s="735"/>
      <c r="O22" s="507">
        <v>1</v>
      </c>
      <c r="P22" s="697">
        <v>27.15</v>
      </c>
      <c r="Q22" s="697">
        <v>27.15</v>
      </c>
      <c r="R22" s="697">
        <v>44.77</v>
      </c>
    </row>
    <row r="23" spans="1:33">
      <c r="A23" s="736"/>
      <c r="B23" s="737"/>
      <c r="C23" s="737"/>
      <c r="D23" s="737"/>
      <c r="E23" s="737"/>
      <c r="F23" s="737"/>
      <c r="G23" s="737"/>
      <c r="H23" s="737"/>
      <c r="I23" s="738"/>
      <c r="O23" s="507">
        <v>2</v>
      </c>
      <c r="P23" s="697">
        <v>28.94</v>
      </c>
      <c r="Q23" s="697">
        <v>28.94</v>
      </c>
      <c r="R23" s="697">
        <v>47.92</v>
      </c>
    </row>
    <row r="24" spans="1:33">
      <c r="A24" s="736"/>
      <c r="B24" s="737"/>
      <c r="C24" s="737"/>
      <c r="D24" s="737"/>
      <c r="E24" s="737"/>
      <c r="F24" s="737"/>
      <c r="G24" s="737"/>
      <c r="H24" s="737"/>
      <c r="I24" s="738"/>
      <c r="O24" s="507">
        <v>3</v>
      </c>
      <c r="P24" s="697">
        <v>27.15</v>
      </c>
      <c r="Q24" s="697">
        <v>27.15</v>
      </c>
      <c r="R24" s="697">
        <v>44.77</v>
      </c>
    </row>
    <row r="25" spans="1:33">
      <c r="A25" s="736"/>
      <c r="B25" s="737"/>
      <c r="C25" s="737"/>
      <c r="D25" s="737"/>
      <c r="E25" s="737"/>
      <c r="F25" s="737"/>
      <c r="G25" s="737"/>
      <c r="H25" s="737"/>
      <c r="I25" s="738"/>
      <c r="O25" s="507">
        <v>4</v>
      </c>
      <c r="P25" s="697">
        <v>27.15</v>
      </c>
      <c r="Q25" s="697">
        <v>27.15</v>
      </c>
      <c r="R25" s="697">
        <v>44.77</v>
      </c>
    </row>
    <row r="26" spans="1:33">
      <c r="A26" s="736"/>
      <c r="B26" s="737"/>
      <c r="C26" s="737"/>
      <c r="D26" s="737"/>
      <c r="E26" s="737"/>
      <c r="F26" s="737"/>
      <c r="G26" s="737"/>
      <c r="H26" s="737"/>
      <c r="I26" s="738"/>
      <c r="O26" s="507">
        <v>5</v>
      </c>
      <c r="P26" s="697">
        <v>28.58</v>
      </c>
      <c r="Q26" s="697">
        <v>28.58</v>
      </c>
      <c r="R26" s="697">
        <v>47.29</v>
      </c>
    </row>
    <row r="27" spans="1:33" ht="15" thickBot="1">
      <c r="A27" s="736"/>
      <c r="B27" s="737"/>
      <c r="C27" s="737"/>
      <c r="D27" s="737"/>
      <c r="E27" s="737"/>
      <c r="F27" s="737"/>
      <c r="G27" s="737"/>
      <c r="H27" s="737"/>
      <c r="I27" s="738"/>
      <c r="O27" s="507">
        <v>6</v>
      </c>
      <c r="P27" s="697">
        <v>27.15</v>
      </c>
      <c r="Q27" s="697">
        <v>27.15</v>
      </c>
      <c r="R27" s="697">
        <v>44.77</v>
      </c>
    </row>
    <row r="28" spans="1:33" ht="15" thickBot="1">
      <c r="A28" s="319" t="s">
        <v>458</v>
      </c>
      <c r="B28" s="319" t="s">
        <v>459</v>
      </c>
      <c r="C28" s="123"/>
      <c r="D28" s="123"/>
      <c r="E28" s="123"/>
      <c r="F28" s="123"/>
      <c r="G28" s="123"/>
      <c r="H28" s="123"/>
      <c r="I28" s="123"/>
      <c r="J28" s="688"/>
      <c r="O28" s="506" t="s">
        <v>152</v>
      </c>
      <c r="P28" s="697"/>
      <c r="Q28" s="697"/>
      <c r="R28" s="697"/>
    </row>
    <row r="29" spans="1:33" ht="15" thickBot="1">
      <c r="A29" s="499">
        <v>40.21</v>
      </c>
      <c r="B29" s="499">
        <v>72.63</v>
      </c>
      <c r="J29" s="689"/>
      <c r="O29" s="507">
        <v>1</v>
      </c>
      <c r="P29" s="697"/>
      <c r="Q29" s="697">
        <v>30.36</v>
      </c>
      <c r="R29" s="697">
        <v>44.77</v>
      </c>
    </row>
    <row r="30" spans="1:33" ht="15" thickBot="1">
      <c r="A30" s="690"/>
      <c r="J30" s="689"/>
      <c r="O30" s="507">
        <v>2</v>
      </c>
      <c r="P30" s="697"/>
      <c r="Q30" s="697">
        <v>32.17</v>
      </c>
      <c r="R30" s="697">
        <v>47.92</v>
      </c>
    </row>
    <row r="31" spans="1:33" ht="15" thickBot="1">
      <c r="A31" s="326" t="s">
        <v>455</v>
      </c>
      <c r="B31" s="349"/>
      <c r="D31" s="477" t="s">
        <v>134</v>
      </c>
      <c r="E31" s="477" t="s">
        <v>708</v>
      </c>
      <c r="J31" s="689"/>
      <c r="O31" s="507">
        <v>3</v>
      </c>
      <c r="P31" s="697"/>
      <c r="Q31" s="697">
        <v>30.36</v>
      </c>
      <c r="R31" s="697">
        <v>44.77</v>
      </c>
    </row>
    <row r="32" spans="1:33" ht="15" thickBot="1">
      <c r="A32" s="382" t="s">
        <v>408</v>
      </c>
      <c r="B32" s="384">
        <v>3.5000000000000003E-2</v>
      </c>
      <c r="D32" s="6">
        <f>A29*(1+B32)</f>
        <v>41.617349999999995</v>
      </c>
      <c r="E32" s="6">
        <f>B29*(1+B32)</f>
        <v>75.172049999999984</v>
      </c>
      <c r="J32" s="689"/>
      <c r="O32" s="507">
        <v>4</v>
      </c>
      <c r="P32" s="697"/>
      <c r="Q32" s="697">
        <v>30.36</v>
      </c>
      <c r="R32" s="697">
        <v>44.77</v>
      </c>
    </row>
    <row r="33" spans="1:19" ht="15" thickBot="1">
      <c r="A33" s="383" t="s">
        <v>453</v>
      </c>
      <c r="B33" s="385">
        <v>3.5000000000000003E-2</v>
      </c>
      <c r="D33" s="6">
        <f>D32*(1+B33)</f>
        <v>43.073957249999992</v>
      </c>
      <c r="E33" s="6">
        <f>E32*(1+B33)</f>
        <v>77.803071749999972</v>
      </c>
      <c r="J33" s="689"/>
      <c r="O33" s="507">
        <v>5</v>
      </c>
      <c r="P33" s="697"/>
      <c r="Q33" s="697">
        <v>31.8</v>
      </c>
      <c r="R33" s="697">
        <v>47.29</v>
      </c>
    </row>
    <row r="34" spans="1:19" ht="15" thickBot="1">
      <c r="A34" s="426" t="s">
        <v>488</v>
      </c>
      <c r="B34" s="385">
        <v>0.04</v>
      </c>
      <c r="D34" s="6">
        <f>D33*(1+B34)</f>
        <v>44.796915539999993</v>
      </c>
      <c r="E34" s="6">
        <f>E33*(1+B34)</f>
        <v>80.91519461999998</v>
      </c>
      <c r="J34" s="689"/>
      <c r="O34" s="507">
        <v>6</v>
      </c>
      <c r="P34" s="697"/>
      <c r="Q34" s="697">
        <v>30.36</v>
      </c>
      <c r="R34" s="697">
        <v>44.77</v>
      </c>
    </row>
    <row r="35" spans="1:19" ht="15" thickBot="1">
      <c r="A35" s="691" t="s">
        <v>460</v>
      </c>
      <c r="B35" s="385">
        <v>0.04</v>
      </c>
      <c r="C35" t="s">
        <v>709</v>
      </c>
      <c r="D35" s="692">
        <f>D34*(1+B35)</f>
        <v>46.588792161599997</v>
      </c>
      <c r="E35" s="692">
        <f>E34*(1+B35)</f>
        <v>84.15180240479998</v>
      </c>
      <c r="F35" s="693" t="s">
        <v>707</v>
      </c>
      <c r="J35" s="689"/>
    </row>
    <row r="36" spans="1:19">
      <c r="A36" s="313" t="s">
        <v>727</v>
      </c>
      <c r="J36" s="689"/>
      <c r="O36" s="732" t="s">
        <v>752</v>
      </c>
      <c r="P36" s="732"/>
      <c r="Q36" s="732"/>
      <c r="R36" s="732"/>
      <c r="S36" s="732"/>
    </row>
    <row r="37" spans="1:19">
      <c r="A37" s="690"/>
      <c r="J37" s="689"/>
      <c r="O37" s="732"/>
      <c r="P37" s="732"/>
      <c r="Q37" s="732"/>
      <c r="R37" s="732"/>
      <c r="S37" s="732"/>
    </row>
    <row r="38" spans="1:19">
      <c r="A38" s="690"/>
      <c r="J38" s="689"/>
      <c r="O38" s="732"/>
      <c r="P38" s="732"/>
      <c r="Q38" s="732"/>
      <c r="R38" s="732"/>
      <c r="S38" s="732"/>
    </row>
    <row r="39" spans="1:19">
      <c r="A39" s="690"/>
      <c r="B39" s="22" t="s">
        <v>807</v>
      </c>
      <c r="C39" s="22"/>
      <c r="D39" s="22"/>
      <c r="E39" s="22"/>
      <c r="J39" s="689"/>
    </row>
    <row r="40" spans="1:19" ht="15" thickBot="1">
      <c r="A40" s="694"/>
      <c r="B40" s="124"/>
      <c r="C40" s="124"/>
      <c r="D40" s="124"/>
      <c r="E40" s="124"/>
      <c r="F40" s="124"/>
      <c r="G40" s="124"/>
      <c r="H40" s="124"/>
      <c r="I40" s="124"/>
      <c r="J40" s="695"/>
    </row>
  </sheetData>
  <sheetProtection algorithmName="SHA-512" hashValue="jFr982yeJT2qtJtU9SGoSwf7FlvSeZReTNCYkOVatAtzCnxlqYPTaUxNDGcuoJZdFCAtaz0QPraYCuyGXlLVyA==" saltValue="TdaBoZUo7HEYxaYqYvimqQ==" spinCount="100000" sheet="1" objects="1" scenarios="1"/>
  <mergeCells count="5">
    <mergeCell ref="J3:S5"/>
    <mergeCell ref="J10:K10"/>
    <mergeCell ref="O10:R10"/>
    <mergeCell ref="O36:S38"/>
    <mergeCell ref="A22:I27"/>
  </mergeCells>
  <pageMargins left="0.7" right="0.7" top="0.75" bottom="0.75" header="0.3" footer="0.3"/>
  <pageSetup orientation="portrait" r:id="rId4"/>
  <drawing r:id="rId5"/>
  <legacy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A62E0-DF1B-487F-91EC-7DB84FEA4034}">
  <sheetPr>
    <tabColor theme="4" tint="0.79998168889431442"/>
  </sheetPr>
  <dimension ref="A1:Y31"/>
  <sheetViews>
    <sheetView workbookViewId="0">
      <selection activeCell="R22" sqref="R22"/>
    </sheetView>
  </sheetViews>
  <sheetFormatPr defaultColWidth="9.109375" defaultRowHeight="14.4"/>
  <cols>
    <col min="1" max="16384" width="9.109375" style="480"/>
  </cols>
  <sheetData>
    <row r="1" spans="1:25">
      <c r="A1" s="563" t="s">
        <v>730</v>
      </c>
    </row>
    <row r="2" spans="1:25">
      <c r="A2" s="557" t="s">
        <v>520</v>
      </c>
    </row>
    <row r="3" spans="1:25" ht="15" customHeight="1">
      <c r="A3" s="739" t="s">
        <v>521</v>
      </c>
      <c r="B3" s="739"/>
      <c r="C3" s="739"/>
      <c r="D3" s="739"/>
      <c r="E3" s="739"/>
      <c r="F3" s="739"/>
      <c r="G3" s="739"/>
      <c r="H3" s="739"/>
      <c r="I3" s="739"/>
      <c r="J3" s="739"/>
      <c r="K3" s="739"/>
      <c r="L3" s="739"/>
      <c r="M3" s="739"/>
      <c r="N3" s="739"/>
      <c r="O3" s="739"/>
      <c r="P3" s="739"/>
      <c r="Q3" s="739"/>
      <c r="R3" s="739"/>
      <c r="S3" s="481"/>
      <c r="T3" s="481"/>
      <c r="U3" s="481"/>
      <c r="V3" s="481"/>
      <c r="W3" s="481"/>
      <c r="X3" s="481"/>
      <c r="Y3" s="481"/>
    </row>
    <row r="4" spans="1:25">
      <c r="A4" s="739"/>
      <c r="B4" s="739"/>
      <c r="C4" s="739"/>
      <c r="D4" s="739"/>
      <c r="E4" s="739"/>
      <c r="F4" s="739"/>
      <c r="G4" s="739"/>
      <c r="H4" s="739"/>
      <c r="I4" s="739"/>
      <c r="J4" s="739"/>
      <c r="K4" s="739"/>
      <c r="L4" s="739"/>
      <c r="M4" s="739"/>
      <c r="N4" s="739"/>
      <c r="O4" s="739"/>
      <c r="P4" s="739"/>
      <c r="Q4" s="739"/>
      <c r="R4" s="739"/>
      <c r="S4" s="481"/>
      <c r="T4" s="481"/>
      <c r="U4" s="481"/>
      <c r="V4" s="481"/>
      <c r="W4" s="481"/>
      <c r="X4" s="481"/>
      <c r="Y4" s="481"/>
    </row>
    <row r="5" spans="1:25">
      <c r="A5" s="739"/>
      <c r="B5" s="739"/>
      <c r="C5" s="739"/>
      <c r="D5" s="739"/>
      <c r="E5" s="739"/>
      <c r="F5" s="739"/>
      <c r="G5" s="739"/>
      <c r="H5" s="739"/>
      <c r="I5" s="739"/>
      <c r="J5" s="739"/>
      <c r="K5" s="739"/>
      <c r="L5" s="739"/>
      <c r="M5" s="739"/>
      <c r="N5" s="739"/>
      <c r="O5" s="739"/>
      <c r="P5" s="739"/>
      <c r="Q5" s="739"/>
      <c r="R5" s="739"/>
      <c r="S5" s="481"/>
      <c r="T5" s="481"/>
      <c r="U5" s="481"/>
      <c r="V5" s="481"/>
      <c r="W5" s="481"/>
      <c r="X5" s="481"/>
      <c r="Y5" s="481"/>
    </row>
    <row r="6" spans="1:25">
      <c r="A6" s="739"/>
      <c r="B6" s="739"/>
      <c r="C6" s="739"/>
      <c r="D6" s="739"/>
      <c r="E6" s="739"/>
      <c r="F6" s="739"/>
      <c r="G6" s="739"/>
      <c r="H6" s="739"/>
      <c r="I6" s="739"/>
      <c r="J6" s="739"/>
      <c r="K6" s="739"/>
      <c r="L6" s="739"/>
      <c r="M6" s="739"/>
      <c r="N6" s="739"/>
      <c r="O6" s="739"/>
      <c r="P6" s="739"/>
      <c r="Q6" s="739"/>
      <c r="R6" s="739"/>
      <c r="S6" s="481"/>
      <c r="T6" s="481"/>
      <c r="U6" s="481"/>
      <c r="V6" s="481"/>
      <c r="W6" s="481"/>
      <c r="X6" s="481"/>
      <c r="Y6" s="481"/>
    </row>
    <row r="7" spans="1:25">
      <c r="A7" s="739"/>
      <c r="B7" s="739"/>
      <c r="C7" s="739"/>
      <c r="D7" s="739"/>
      <c r="E7" s="739"/>
      <c r="F7" s="739"/>
      <c r="G7" s="739"/>
      <c r="H7" s="739"/>
      <c r="I7" s="739"/>
      <c r="J7" s="739"/>
      <c r="K7" s="739"/>
      <c r="L7" s="739"/>
      <c r="M7" s="739"/>
      <c r="N7" s="739"/>
      <c r="O7" s="739"/>
      <c r="P7" s="739"/>
      <c r="Q7" s="739"/>
      <c r="R7" s="739"/>
      <c r="S7" s="481"/>
      <c r="T7" s="481"/>
      <c r="U7" s="481"/>
      <c r="V7" s="481"/>
      <c r="W7" s="481"/>
      <c r="X7" s="481"/>
      <c r="Y7" s="481"/>
    </row>
    <row r="8" spans="1:25">
      <c r="A8" s="739"/>
      <c r="B8" s="739"/>
      <c r="C8" s="739"/>
      <c r="D8" s="739"/>
      <c r="E8" s="739"/>
      <c r="F8" s="739"/>
      <c r="G8" s="739"/>
      <c r="H8" s="739"/>
      <c r="I8" s="739"/>
      <c r="J8" s="739"/>
      <c r="K8" s="739"/>
      <c r="L8" s="739"/>
      <c r="M8" s="739"/>
      <c r="N8" s="739"/>
      <c r="O8" s="739"/>
      <c r="P8" s="739"/>
      <c r="Q8" s="739"/>
      <c r="R8" s="739"/>
      <c r="S8" s="481"/>
      <c r="T8" s="481"/>
      <c r="U8" s="481"/>
      <c r="V8" s="481"/>
      <c r="W8" s="481"/>
      <c r="X8" s="481"/>
      <c r="Y8" s="481"/>
    </row>
    <row r="9" spans="1:25">
      <c r="A9" s="739"/>
      <c r="B9" s="739"/>
      <c r="C9" s="739"/>
      <c r="D9" s="739"/>
      <c r="E9" s="739"/>
      <c r="F9" s="739"/>
      <c r="G9" s="739"/>
      <c r="H9" s="739"/>
      <c r="I9" s="739"/>
      <c r="J9" s="739"/>
      <c r="K9" s="739"/>
      <c r="L9" s="739"/>
      <c r="M9" s="739"/>
      <c r="N9" s="739"/>
      <c r="O9" s="739"/>
      <c r="P9" s="739"/>
      <c r="Q9" s="739"/>
      <c r="R9" s="739"/>
      <c r="S9" s="481"/>
      <c r="T9" s="481"/>
      <c r="U9" s="481"/>
      <c r="V9" s="481"/>
      <c r="W9" s="481"/>
      <c r="X9" s="481"/>
      <c r="Y9" s="481"/>
    </row>
    <row r="10" spans="1:25">
      <c r="A10" s="739"/>
      <c r="B10" s="739"/>
      <c r="C10" s="739"/>
      <c r="D10" s="739"/>
      <c r="E10" s="739"/>
      <c r="F10" s="739"/>
      <c r="G10" s="739"/>
      <c r="H10" s="739"/>
      <c r="I10" s="739"/>
      <c r="J10" s="739"/>
      <c r="K10" s="739"/>
      <c r="L10" s="739"/>
      <c r="M10" s="739"/>
      <c r="N10" s="739"/>
      <c r="O10" s="739"/>
      <c r="P10" s="739"/>
      <c r="Q10" s="739"/>
      <c r="R10" s="739"/>
      <c r="S10" s="481"/>
      <c r="T10" s="481"/>
      <c r="U10" s="481"/>
      <c r="V10" s="481"/>
      <c r="W10" s="481"/>
      <c r="X10" s="481"/>
      <c r="Y10" s="481"/>
    </row>
    <row r="11" spans="1:25">
      <c r="A11" s="739"/>
      <c r="B11" s="739"/>
      <c r="C11" s="739"/>
      <c r="D11" s="739"/>
      <c r="E11" s="739"/>
      <c r="F11" s="739"/>
      <c r="G11" s="739"/>
      <c r="H11" s="739"/>
      <c r="I11" s="739"/>
      <c r="J11" s="739"/>
      <c r="K11" s="739"/>
      <c r="L11" s="739"/>
      <c r="M11" s="739"/>
      <c r="N11" s="739"/>
      <c r="O11" s="739"/>
      <c r="P11" s="739"/>
      <c r="Q11" s="739"/>
      <c r="R11" s="739"/>
      <c r="S11" s="481"/>
      <c r="T11" s="481"/>
      <c r="U11" s="481"/>
      <c r="V11" s="481"/>
      <c r="W11" s="481"/>
      <c r="X11" s="481"/>
      <c r="Y11" s="481"/>
    </row>
    <row r="12" spans="1:25">
      <c r="A12" s="739"/>
      <c r="B12" s="739"/>
      <c r="C12" s="739"/>
      <c r="D12" s="739"/>
      <c r="E12" s="739"/>
      <c r="F12" s="739"/>
      <c r="G12" s="739"/>
      <c r="H12" s="739"/>
      <c r="I12" s="739"/>
      <c r="J12" s="739"/>
      <c r="K12" s="739"/>
      <c r="L12" s="739"/>
      <c r="M12" s="739"/>
      <c r="N12" s="739"/>
      <c r="O12" s="739"/>
      <c r="P12" s="739"/>
      <c r="Q12" s="739"/>
      <c r="R12" s="739"/>
      <c r="S12" s="481"/>
      <c r="T12" s="481"/>
      <c r="U12" s="481"/>
      <c r="V12" s="481"/>
      <c r="W12" s="481"/>
      <c r="X12" s="481"/>
      <c r="Y12" s="481"/>
    </row>
    <row r="13" spans="1:25">
      <c r="A13" s="739"/>
      <c r="B13" s="739"/>
      <c r="C13" s="739"/>
      <c r="D13" s="739"/>
      <c r="E13" s="739"/>
      <c r="F13" s="739"/>
      <c r="G13" s="739"/>
      <c r="H13" s="739"/>
      <c r="I13" s="739"/>
      <c r="J13" s="739"/>
      <c r="K13" s="739"/>
      <c r="L13" s="739"/>
      <c r="M13" s="739"/>
      <c r="N13" s="739"/>
      <c r="O13" s="739"/>
      <c r="P13" s="739"/>
      <c r="Q13" s="739"/>
      <c r="R13" s="739"/>
      <c r="S13" s="481"/>
      <c r="T13" s="481"/>
      <c r="U13" s="481"/>
      <c r="V13" s="481"/>
      <c r="W13" s="481"/>
      <c r="X13" s="481"/>
      <c r="Y13" s="481"/>
    </row>
    <row r="14" spans="1:25">
      <c r="A14" s="739"/>
      <c r="B14" s="739"/>
      <c r="C14" s="739"/>
      <c r="D14" s="739"/>
      <c r="E14" s="739"/>
      <c r="F14" s="739"/>
      <c r="G14" s="739"/>
      <c r="H14" s="739"/>
      <c r="I14" s="739"/>
      <c r="J14" s="739"/>
      <c r="K14" s="739"/>
      <c r="L14" s="739"/>
      <c r="M14" s="739"/>
      <c r="N14" s="739"/>
      <c r="O14" s="739"/>
      <c r="P14" s="739"/>
      <c r="Q14" s="739"/>
      <c r="R14" s="739"/>
      <c r="S14" s="481"/>
      <c r="T14" s="481"/>
      <c r="U14" s="481"/>
      <c r="V14" s="481"/>
      <c r="W14" s="481"/>
      <c r="X14" s="481"/>
      <c r="Y14" s="481"/>
    </row>
    <row r="15" spans="1:25">
      <c r="A15" s="739"/>
      <c r="B15" s="739"/>
      <c r="C15" s="739"/>
      <c r="D15" s="739"/>
      <c r="E15" s="739"/>
      <c r="F15" s="739"/>
      <c r="G15" s="739"/>
      <c r="H15" s="739"/>
      <c r="I15" s="739"/>
      <c r="J15" s="739"/>
      <c r="K15" s="739"/>
      <c r="L15" s="739"/>
      <c r="M15" s="739"/>
      <c r="N15" s="739"/>
      <c r="O15" s="739"/>
      <c r="P15" s="739"/>
      <c r="Q15" s="739"/>
      <c r="R15" s="739"/>
      <c r="S15" s="481"/>
      <c r="T15" s="481"/>
      <c r="U15" s="481"/>
      <c r="V15" s="481"/>
      <c r="W15" s="481"/>
      <c r="X15" s="481"/>
      <c r="Y15" s="481"/>
    </row>
    <row r="16" spans="1:25">
      <c r="A16" s="739"/>
      <c r="B16" s="739"/>
      <c r="C16" s="739"/>
      <c r="D16" s="739"/>
      <c r="E16" s="739"/>
      <c r="F16" s="739"/>
      <c r="G16" s="739"/>
      <c r="H16" s="739"/>
      <c r="I16" s="739"/>
      <c r="J16" s="739"/>
      <c r="K16" s="739"/>
      <c r="L16" s="739"/>
      <c r="M16" s="739"/>
      <c r="N16" s="739"/>
      <c r="O16" s="739"/>
      <c r="P16" s="739"/>
      <c r="Q16" s="739"/>
      <c r="R16" s="739"/>
      <c r="S16" s="481"/>
      <c r="T16" s="481"/>
      <c r="U16" s="481"/>
      <c r="V16" s="481"/>
      <c r="W16" s="481"/>
      <c r="X16" s="481"/>
      <c r="Y16" s="481"/>
    </row>
    <row r="17" spans="1:25">
      <c r="A17" s="739"/>
      <c r="B17" s="739"/>
      <c r="C17" s="739"/>
      <c r="D17" s="739"/>
      <c r="E17" s="739"/>
      <c r="F17" s="739"/>
      <c r="G17" s="739"/>
      <c r="H17" s="739"/>
      <c r="I17" s="739"/>
      <c r="J17" s="739"/>
      <c r="K17" s="739"/>
      <c r="L17" s="739"/>
      <c r="M17" s="739"/>
      <c r="N17" s="739"/>
      <c r="O17" s="739"/>
      <c r="P17" s="739"/>
      <c r="Q17" s="739"/>
      <c r="R17" s="739"/>
      <c r="S17" s="481"/>
      <c r="T17" s="481"/>
      <c r="U17" s="481"/>
      <c r="V17" s="481"/>
      <c r="W17" s="481"/>
      <c r="X17" s="481"/>
      <c r="Y17" s="481"/>
    </row>
    <row r="18" spans="1:25">
      <c r="A18" s="481"/>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1"/>
    </row>
    <row r="19" spans="1:25">
      <c r="A19" s="481"/>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row>
    <row r="20" spans="1:25">
      <c r="A20" s="481"/>
      <c r="B20" s="481"/>
      <c r="C20" s="481"/>
      <c r="D20" s="481"/>
      <c r="E20" s="481"/>
      <c r="F20" s="481"/>
      <c r="G20" s="481"/>
      <c r="H20" s="481"/>
      <c r="I20" s="481"/>
      <c r="J20" s="481"/>
      <c r="K20" s="481"/>
      <c r="L20" s="481"/>
      <c r="M20" s="481"/>
      <c r="N20" s="481"/>
      <c r="O20" s="481"/>
      <c r="P20" s="481"/>
      <c r="Q20" s="481"/>
      <c r="R20" s="481"/>
      <c r="S20" s="481"/>
      <c r="T20" s="481"/>
      <c r="U20" s="481"/>
      <c r="V20" s="481"/>
      <c r="W20" s="481"/>
      <c r="X20" s="481"/>
      <c r="Y20" s="481"/>
    </row>
    <row r="21" spans="1:25">
      <c r="A21" s="481"/>
      <c r="B21" s="481"/>
      <c r="C21" s="481"/>
      <c r="D21" s="481"/>
      <c r="E21" s="481"/>
      <c r="F21" s="481"/>
      <c r="G21" s="481"/>
      <c r="H21" s="481"/>
      <c r="I21" s="481"/>
      <c r="J21" s="481"/>
      <c r="K21" s="481"/>
      <c r="L21" s="481"/>
      <c r="M21" s="481"/>
      <c r="N21" s="481"/>
      <c r="O21" s="481"/>
      <c r="P21" s="481"/>
      <c r="Q21" s="481"/>
      <c r="R21" s="481"/>
      <c r="S21" s="481"/>
      <c r="T21" s="481"/>
      <c r="U21" s="481"/>
      <c r="V21" s="481"/>
      <c r="W21" s="481"/>
      <c r="X21" s="481"/>
      <c r="Y21" s="481"/>
    </row>
    <row r="22" spans="1:25">
      <c r="A22" s="481"/>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row>
    <row r="23" spans="1:25">
      <c r="A23" s="481"/>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481"/>
    </row>
    <row r="24" spans="1:25">
      <c r="A24" s="481"/>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481"/>
    </row>
    <row r="25" spans="1:25">
      <c r="A25" s="481"/>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481"/>
    </row>
    <row r="26" spans="1:25">
      <c r="A26" s="481"/>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481"/>
    </row>
    <row r="27" spans="1:25">
      <c r="A27" s="481"/>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481"/>
    </row>
    <row r="28" spans="1:25">
      <c r="A28" s="481"/>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481"/>
    </row>
    <row r="29" spans="1:25">
      <c r="A29" s="481"/>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1"/>
    </row>
    <row r="30" spans="1:25">
      <c r="A30" s="481"/>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1"/>
    </row>
    <row r="31" spans="1:25">
      <c r="A31" s="481"/>
      <c r="B31" s="481"/>
      <c r="C31" s="481"/>
      <c r="D31" s="481"/>
      <c r="E31" s="481"/>
      <c r="F31" s="481"/>
      <c r="G31" s="481"/>
      <c r="H31" s="481"/>
      <c r="I31" s="481"/>
      <c r="J31" s="481"/>
      <c r="K31" s="481"/>
      <c r="L31" s="481"/>
      <c r="M31" s="481"/>
      <c r="N31" s="481"/>
      <c r="O31" s="481"/>
      <c r="P31" s="481"/>
      <c r="Q31" s="481"/>
      <c r="R31" s="481"/>
      <c r="S31" s="481"/>
      <c r="T31" s="481"/>
      <c r="U31" s="481"/>
      <c r="V31" s="481"/>
      <c r="W31" s="481"/>
      <c r="X31" s="481"/>
      <c r="Y31" s="481"/>
    </row>
  </sheetData>
  <mergeCells count="1">
    <mergeCell ref="A3:R1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B4DA3-DF69-4DBC-A376-77BF6F5E208F}">
  <sheetPr>
    <tabColor theme="4" tint="0.79998168889431442"/>
    <pageSetUpPr fitToPage="1"/>
  </sheetPr>
  <dimension ref="A1:Q451"/>
  <sheetViews>
    <sheetView workbookViewId="0">
      <pane ySplit="1" topLeftCell="A2" activePane="bottomLeft" state="frozen"/>
      <selection activeCell="R22" sqref="R22"/>
      <selection pane="bottomLeft" activeCell="R22" sqref="R22"/>
    </sheetView>
  </sheetViews>
  <sheetFormatPr defaultRowHeight="14.4"/>
  <cols>
    <col min="2" max="2" width="12" customWidth="1"/>
    <col min="3" max="3" width="14.109375" customWidth="1"/>
    <col min="4" max="4" width="12.5546875" customWidth="1"/>
    <col min="5" max="5" width="12.33203125" customWidth="1"/>
    <col min="6" max="6" width="10.88671875" customWidth="1"/>
    <col min="7" max="7" width="10.5546875" customWidth="1"/>
    <col min="8" max="8" width="11.109375" customWidth="1"/>
    <col min="9" max="9" width="12.88671875" customWidth="1"/>
    <col min="14" max="14" width="28.6640625" customWidth="1"/>
  </cols>
  <sheetData>
    <row r="1" spans="1:17">
      <c r="A1" t="s">
        <v>5</v>
      </c>
      <c r="B1" t="s">
        <v>8</v>
      </c>
      <c r="C1" t="s">
        <v>7</v>
      </c>
      <c r="D1" t="s">
        <v>9</v>
      </c>
      <c r="E1" t="s">
        <v>10</v>
      </c>
      <c r="F1" t="s">
        <v>11</v>
      </c>
      <c r="G1" t="s">
        <v>522</v>
      </c>
      <c r="H1" t="s">
        <v>523</v>
      </c>
      <c r="I1" t="s">
        <v>794</v>
      </c>
      <c r="N1" s="686"/>
      <c r="O1" s="686" t="s">
        <v>774</v>
      </c>
      <c r="P1" s="686" t="s">
        <v>519</v>
      </c>
      <c r="Q1" s="686"/>
    </row>
    <row r="2" spans="1:17">
      <c r="A2" s="177">
        <v>45108</v>
      </c>
      <c r="B2" t="s">
        <v>524</v>
      </c>
      <c r="C2" t="s">
        <v>15</v>
      </c>
      <c r="D2" s="684">
        <v>1</v>
      </c>
      <c r="E2" s="684">
        <v>1</v>
      </c>
      <c r="F2" t="s">
        <v>16</v>
      </c>
      <c r="G2" s="684">
        <v>1</v>
      </c>
      <c r="H2" s="684">
        <f>28.8</f>
        <v>28.8</v>
      </c>
      <c r="I2" t="s">
        <v>699</v>
      </c>
      <c r="N2" s="686" t="s">
        <v>235</v>
      </c>
      <c r="O2" s="686" t="s">
        <v>696</v>
      </c>
      <c r="P2" s="686" t="s">
        <v>155</v>
      </c>
      <c r="Q2" s="686"/>
    </row>
    <row r="3" spans="1:17">
      <c r="A3" s="177">
        <v>45108</v>
      </c>
      <c r="B3" t="s">
        <v>524</v>
      </c>
      <c r="C3" t="s">
        <v>15</v>
      </c>
      <c r="D3" s="684">
        <v>1</v>
      </c>
      <c r="E3" s="684">
        <v>1</v>
      </c>
      <c r="F3" t="s">
        <v>17</v>
      </c>
      <c r="G3" s="684">
        <v>1.0789</v>
      </c>
      <c r="H3" s="684">
        <v>31.07</v>
      </c>
      <c r="I3" t="s">
        <v>699</v>
      </c>
      <c r="N3" s="687" t="s">
        <v>699</v>
      </c>
      <c r="O3" s="686">
        <v>50.32</v>
      </c>
      <c r="P3" s="686">
        <v>48.38</v>
      </c>
      <c r="Q3" s="686"/>
    </row>
    <row r="4" spans="1:17">
      <c r="A4" s="177">
        <v>45108</v>
      </c>
      <c r="B4" t="s">
        <v>524</v>
      </c>
      <c r="C4" t="s">
        <v>15</v>
      </c>
      <c r="D4" s="684">
        <v>1</v>
      </c>
      <c r="E4" s="684">
        <v>1</v>
      </c>
      <c r="F4" t="s">
        <v>18</v>
      </c>
      <c r="G4" s="684">
        <v>1</v>
      </c>
      <c r="H4" s="684">
        <v>28.8</v>
      </c>
      <c r="I4" t="s">
        <v>699</v>
      </c>
      <c r="N4" s="687" t="s">
        <v>691</v>
      </c>
      <c r="O4" s="686">
        <v>90.89</v>
      </c>
      <c r="P4" s="686">
        <v>87.39</v>
      </c>
      <c r="Q4" s="686"/>
    </row>
    <row r="5" spans="1:17">
      <c r="A5" s="177">
        <v>45108</v>
      </c>
      <c r="B5" t="s">
        <v>524</v>
      </c>
      <c r="C5" t="s">
        <v>15</v>
      </c>
      <c r="D5" s="684">
        <v>1</v>
      </c>
      <c r="E5" s="684">
        <v>1</v>
      </c>
      <c r="F5" t="s">
        <v>19</v>
      </c>
      <c r="G5" s="684">
        <v>1</v>
      </c>
      <c r="H5" s="684">
        <v>28.8</v>
      </c>
      <c r="I5" t="s">
        <v>699</v>
      </c>
      <c r="N5" s="687" t="s">
        <v>700</v>
      </c>
      <c r="O5" s="686">
        <v>50.32</v>
      </c>
      <c r="P5" s="686">
        <v>48.38</v>
      </c>
      <c r="Q5" s="686"/>
    </row>
    <row r="6" spans="1:17">
      <c r="A6" s="177">
        <v>45108</v>
      </c>
      <c r="B6" t="s">
        <v>524</v>
      </c>
      <c r="C6" t="s">
        <v>15</v>
      </c>
      <c r="D6" s="684">
        <v>1</v>
      </c>
      <c r="E6" s="684">
        <v>1</v>
      </c>
      <c r="F6" t="s">
        <v>20</v>
      </c>
      <c r="G6" s="684">
        <v>1.0629</v>
      </c>
      <c r="H6" s="684">
        <v>30.61</v>
      </c>
      <c r="I6" t="s">
        <v>699</v>
      </c>
      <c r="N6" s="686"/>
      <c r="O6" s="686"/>
      <c r="P6" s="686"/>
      <c r="Q6" s="686"/>
    </row>
    <row r="7" spans="1:17">
      <c r="A7" s="177">
        <v>45108</v>
      </c>
      <c r="B7" t="s">
        <v>524</v>
      </c>
      <c r="C7" t="s">
        <v>15</v>
      </c>
      <c r="D7" s="684">
        <v>1</v>
      </c>
      <c r="E7" s="684">
        <v>1</v>
      </c>
      <c r="F7" t="s">
        <v>21</v>
      </c>
      <c r="G7" s="684">
        <v>1</v>
      </c>
      <c r="H7" s="684">
        <v>28.8</v>
      </c>
      <c r="I7" t="s">
        <v>699</v>
      </c>
      <c r="N7" s="686"/>
      <c r="O7" s="686"/>
      <c r="P7" s="686"/>
      <c r="Q7" s="686"/>
    </row>
    <row r="8" spans="1:17">
      <c r="A8" s="177">
        <v>45108</v>
      </c>
      <c r="B8" t="s">
        <v>525</v>
      </c>
      <c r="C8" t="s">
        <v>15</v>
      </c>
      <c r="D8" s="684">
        <v>1</v>
      </c>
      <c r="E8" s="684">
        <v>2</v>
      </c>
      <c r="F8" t="s">
        <v>16</v>
      </c>
      <c r="G8" s="684">
        <v>1</v>
      </c>
      <c r="H8" s="684">
        <v>31.78</v>
      </c>
      <c r="I8" t="s">
        <v>699</v>
      </c>
      <c r="N8" s="686"/>
      <c r="O8" s="686"/>
      <c r="P8" s="686"/>
      <c r="Q8" s="686"/>
    </row>
    <row r="9" spans="1:17">
      <c r="A9" s="177">
        <v>45108</v>
      </c>
      <c r="B9" t="s">
        <v>525</v>
      </c>
      <c r="C9" t="s">
        <v>15</v>
      </c>
      <c r="D9" s="684">
        <v>1</v>
      </c>
      <c r="E9" s="684">
        <v>2</v>
      </c>
      <c r="F9" t="s">
        <v>17</v>
      </c>
      <c r="G9" s="684">
        <v>1.0789</v>
      </c>
      <c r="H9" s="684">
        <v>34.29</v>
      </c>
      <c r="I9" t="s">
        <v>699</v>
      </c>
      <c r="N9" s="686"/>
      <c r="O9" s="686"/>
      <c r="P9" s="686"/>
      <c r="Q9" s="686"/>
    </row>
    <row r="10" spans="1:17">
      <c r="A10" s="177">
        <v>45108</v>
      </c>
      <c r="B10" t="s">
        <v>525</v>
      </c>
      <c r="C10" t="s">
        <v>15</v>
      </c>
      <c r="D10" s="684">
        <v>1</v>
      </c>
      <c r="E10" s="684">
        <v>2</v>
      </c>
      <c r="F10" t="s">
        <v>18</v>
      </c>
      <c r="G10" s="684">
        <v>1</v>
      </c>
      <c r="H10" s="684">
        <v>31.78</v>
      </c>
      <c r="I10" t="s">
        <v>699</v>
      </c>
      <c r="N10" s="686"/>
      <c r="O10" s="686"/>
      <c r="P10" s="686"/>
      <c r="Q10" s="686"/>
    </row>
    <row r="11" spans="1:17">
      <c r="A11" s="177">
        <v>45108</v>
      </c>
      <c r="B11" t="s">
        <v>525</v>
      </c>
      <c r="C11" t="s">
        <v>15</v>
      </c>
      <c r="D11" s="684">
        <v>1</v>
      </c>
      <c r="E11" s="684">
        <v>2</v>
      </c>
      <c r="F11" t="s">
        <v>19</v>
      </c>
      <c r="G11" s="684">
        <v>1</v>
      </c>
      <c r="H11" s="684">
        <v>31.78</v>
      </c>
      <c r="I11" t="s">
        <v>699</v>
      </c>
      <c r="N11" s="686"/>
      <c r="O11" s="686"/>
      <c r="P11" s="686"/>
      <c r="Q11" s="686"/>
    </row>
    <row r="12" spans="1:17">
      <c r="A12" s="177">
        <v>45108</v>
      </c>
      <c r="B12" t="s">
        <v>525</v>
      </c>
      <c r="C12" t="s">
        <v>15</v>
      </c>
      <c r="D12" s="684">
        <v>1</v>
      </c>
      <c r="E12" s="684">
        <v>2</v>
      </c>
      <c r="F12" t="s">
        <v>20</v>
      </c>
      <c r="G12" s="684">
        <v>1.0629</v>
      </c>
      <c r="H12" s="684">
        <v>33.78</v>
      </c>
      <c r="I12" t="s">
        <v>699</v>
      </c>
      <c r="N12" s="686"/>
      <c r="O12" s="686"/>
      <c r="P12" s="686"/>
      <c r="Q12" s="686"/>
    </row>
    <row r="13" spans="1:17">
      <c r="A13" s="177">
        <v>45108</v>
      </c>
      <c r="B13" t="s">
        <v>525</v>
      </c>
      <c r="C13" t="s">
        <v>15</v>
      </c>
      <c r="D13" s="684">
        <v>1</v>
      </c>
      <c r="E13" s="684">
        <v>2</v>
      </c>
      <c r="F13" t="s">
        <v>21</v>
      </c>
      <c r="G13" s="684">
        <v>1</v>
      </c>
      <c r="H13" s="684">
        <v>31.78</v>
      </c>
      <c r="I13" t="s">
        <v>699</v>
      </c>
      <c r="N13" s="686"/>
      <c r="O13" s="686"/>
      <c r="P13" s="686"/>
      <c r="Q13" s="686"/>
    </row>
    <row r="14" spans="1:17">
      <c r="A14" s="177">
        <v>45108</v>
      </c>
      <c r="B14" t="s">
        <v>526</v>
      </c>
      <c r="C14" t="s">
        <v>15</v>
      </c>
      <c r="D14" s="684">
        <v>1</v>
      </c>
      <c r="E14" s="684">
        <v>3</v>
      </c>
      <c r="F14" t="s">
        <v>16</v>
      </c>
      <c r="G14" s="684">
        <v>1</v>
      </c>
      <c r="H14" s="684">
        <v>36.64</v>
      </c>
      <c r="I14" t="s">
        <v>699</v>
      </c>
      <c r="N14" s="686"/>
      <c r="O14" s="686"/>
      <c r="P14" s="686"/>
      <c r="Q14" s="686"/>
    </row>
    <row r="15" spans="1:17">
      <c r="A15" s="177">
        <v>45108</v>
      </c>
      <c r="B15" t="s">
        <v>526</v>
      </c>
      <c r="C15" t="s">
        <v>15</v>
      </c>
      <c r="D15" s="684">
        <v>1</v>
      </c>
      <c r="E15" s="684">
        <v>3</v>
      </c>
      <c r="F15" t="s">
        <v>17</v>
      </c>
      <c r="G15" s="684">
        <v>1.0789</v>
      </c>
      <c r="H15" s="684">
        <v>39.53</v>
      </c>
      <c r="I15" t="s">
        <v>699</v>
      </c>
      <c r="N15" s="686"/>
      <c r="O15" s="686"/>
      <c r="P15" s="686"/>
      <c r="Q15" s="686"/>
    </row>
    <row r="16" spans="1:17">
      <c r="A16" s="177">
        <v>45108</v>
      </c>
      <c r="B16" t="s">
        <v>526</v>
      </c>
      <c r="C16" t="s">
        <v>15</v>
      </c>
      <c r="D16" s="684">
        <v>1</v>
      </c>
      <c r="E16" s="684">
        <v>3</v>
      </c>
      <c r="F16" t="s">
        <v>18</v>
      </c>
      <c r="G16" s="684">
        <v>1</v>
      </c>
      <c r="H16" s="684">
        <v>36.64</v>
      </c>
      <c r="I16" t="s">
        <v>699</v>
      </c>
      <c r="N16" s="686"/>
      <c r="O16" s="686"/>
      <c r="P16" s="686"/>
      <c r="Q16" s="686"/>
    </row>
    <row r="17" spans="1:17">
      <c r="A17" s="177">
        <v>45108</v>
      </c>
      <c r="B17" t="s">
        <v>526</v>
      </c>
      <c r="C17" t="s">
        <v>15</v>
      </c>
      <c r="D17" s="684">
        <v>1</v>
      </c>
      <c r="E17" s="684">
        <v>3</v>
      </c>
      <c r="F17" t="s">
        <v>19</v>
      </c>
      <c r="G17" s="684">
        <v>1</v>
      </c>
      <c r="H17" s="684">
        <v>36.64</v>
      </c>
      <c r="I17" t="s">
        <v>699</v>
      </c>
      <c r="N17" s="686"/>
      <c r="O17" s="686"/>
      <c r="P17" s="686"/>
      <c r="Q17" s="686"/>
    </row>
    <row r="18" spans="1:17">
      <c r="A18" s="177">
        <v>45108</v>
      </c>
      <c r="B18" t="s">
        <v>526</v>
      </c>
      <c r="C18" t="s">
        <v>15</v>
      </c>
      <c r="D18" s="684">
        <v>1</v>
      </c>
      <c r="E18" s="684">
        <v>3</v>
      </c>
      <c r="F18" t="s">
        <v>20</v>
      </c>
      <c r="G18" s="684">
        <v>1.0629</v>
      </c>
      <c r="H18" s="684">
        <v>38.94</v>
      </c>
      <c r="I18" t="s">
        <v>699</v>
      </c>
      <c r="N18" s="686"/>
      <c r="O18" s="686"/>
      <c r="P18" s="686"/>
      <c r="Q18" s="686"/>
    </row>
    <row r="19" spans="1:17">
      <c r="A19" s="177">
        <v>45108</v>
      </c>
      <c r="B19" t="s">
        <v>526</v>
      </c>
      <c r="C19" t="s">
        <v>15</v>
      </c>
      <c r="D19" s="684">
        <v>1</v>
      </c>
      <c r="E19" s="684">
        <v>3</v>
      </c>
      <c r="F19" t="s">
        <v>21</v>
      </c>
      <c r="G19" s="684">
        <v>1</v>
      </c>
      <c r="H19" s="684">
        <v>36.64</v>
      </c>
      <c r="I19" t="s">
        <v>699</v>
      </c>
      <c r="N19" s="686"/>
      <c r="O19" s="686"/>
      <c r="P19" s="686"/>
      <c r="Q19" s="686"/>
    </row>
    <row r="20" spans="1:17">
      <c r="A20" s="177">
        <v>45108</v>
      </c>
      <c r="B20" t="s">
        <v>527</v>
      </c>
      <c r="C20" t="s">
        <v>15</v>
      </c>
      <c r="D20" s="684">
        <v>1</v>
      </c>
      <c r="E20" s="684">
        <v>4</v>
      </c>
      <c r="F20" t="s">
        <v>16</v>
      </c>
      <c r="G20" s="684">
        <v>1</v>
      </c>
      <c r="H20" s="684">
        <v>43.22</v>
      </c>
      <c r="I20" t="s">
        <v>699</v>
      </c>
      <c r="N20" s="686"/>
      <c r="O20" s="686"/>
      <c r="P20" s="686"/>
      <c r="Q20" s="686"/>
    </row>
    <row r="21" spans="1:17">
      <c r="A21" s="177">
        <v>45108</v>
      </c>
      <c r="B21" t="s">
        <v>527</v>
      </c>
      <c r="C21" t="s">
        <v>15</v>
      </c>
      <c r="D21" s="684">
        <v>1</v>
      </c>
      <c r="E21" s="684">
        <v>4</v>
      </c>
      <c r="F21" t="s">
        <v>17</v>
      </c>
      <c r="G21" s="684">
        <v>1.0789</v>
      </c>
      <c r="H21" s="684">
        <v>46.63</v>
      </c>
      <c r="I21" t="s">
        <v>699</v>
      </c>
      <c r="N21" s="686"/>
      <c r="O21" s="686"/>
      <c r="P21" s="686"/>
      <c r="Q21" s="686"/>
    </row>
    <row r="22" spans="1:17">
      <c r="A22" s="177">
        <v>45108</v>
      </c>
      <c r="B22" t="s">
        <v>527</v>
      </c>
      <c r="C22" t="s">
        <v>15</v>
      </c>
      <c r="D22" s="684">
        <v>1</v>
      </c>
      <c r="E22" s="684">
        <v>4</v>
      </c>
      <c r="F22" t="s">
        <v>18</v>
      </c>
      <c r="G22" s="684">
        <v>1</v>
      </c>
      <c r="H22" s="684">
        <v>43.22</v>
      </c>
      <c r="I22" t="s">
        <v>699</v>
      </c>
      <c r="N22" s="686" t="s">
        <v>811</v>
      </c>
      <c r="O22" s="686"/>
      <c r="P22" s="686"/>
      <c r="Q22" s="686"/>
    </row>
    <row r="23" spans="1:17">
      <c r="A23" s="177">
        <v>45108</v>
      </c>
      <c r="B23" t="s">
        <v>527</v>
      </c>
      <c r="C23" t="s">
        <v>15</v>
      </c>
      <c r="D23" s="684">
        <v>1</v>
      </c>
      <c r="E23" s="684">
        <v>4</v>
      </c>
      <c r="F23" t="s">
        <v>19</v>
      </c>
      <c r="G23" s="684">
        <v>1</v>
      </c>
      <c r="H23" s="684">
        <v>43.22</v>
      </c>
      <c r="I23" t="s">
        <v>699</v>
      </c>
    </row>
    <row r="24" spans="1:17">
      <c r="A24" s="177">
        <v>45108</v>
      </c>
      <c r="B24" t="s">
        <v>527</v>
      </c>
      <c r="C24" t="s">
        <v>15</v>
      </c>
      <c r="D24" s="684">
        <v>1</v>
      </c>
      <c r="E24" s="684">
        <v>4</v>
      </c>
      <c r="F24" t="s">
        <v>20</v>
      </c>
      <c r="G24" s="684">
        <v>1.0629</v>
      </c>
      <c r="H24" s="684">
        <v>45.94</v>
      </c>
      <c r="I24" t="s">
        <v>699</v>
      </c>
    </row>
    <row r="25" spans="1:17">
      <c r="A25" s="177">
        <v>45108</v>
      </c>
      <c r="B25" t="s">
        <v>527</v>
      </c>
      <c r="C25" t="s">
        <v>15</v>
      </c>
      <c r="D25" s="684">
        <v>1</v>
      </c>
      <c r="E25" s="684">
        <v>4</v>
      </c>
      <c r="F25" t="s">
        <v>21</v>
      </c>
      <c r="G25" s="684">
        <v>1</v>
      </c>
      <c r="H25" s="684">
        <v>43.22</v>
      </c>
      <c r="I25" t="s">
        <v>699</v>
      </c>
    </row>
    <row r="26" spans="1:17">
      <c r="A26" s="177">
        <v>45108</v>
      </c>
      <c r="B26" t="s">
        <v>528</v>
      </c>
      <c r="C26" t="s">
        <v>15</v>
      </c>
      <c r="D26" s="684">
        <v>1</v>
      </c>
      <c r="E26" s="684">
        <v>5</v>
      </c>
      <c r="F26" t="s">
        <v>16</v>
      </c>
      <c r="G26" s="684">
        <v>1</v>
      </c>
      <c r="H26" s="684">
        <v>48.98</v>
      </c>
      <c r="I26" t="s">
        <v>699</v>
      </c>
    </row>
    <row r="27" spans="1:17">
      <c r="A27" s="177">
        <v>45108</v>
      </c>
      <c r="B27" t="s">
        <v>528</v>
      </c>
      <c r="C27" t="s">
        <v>15</v>
      </c>
      <c r="D27" s="684">
        <v>1</v>
      </c>
      <c r="E27" s="684">
        <v>5</v>
      </c>
      <c r="F27" t="s">
        <v>17</v>
      </c>
      <c r="G27" s="684">
        <v>1.0789</v>
      </c>
      <c r="H27" s="684">
        <v>52.84</v>
      </c>
      <c r="I27" t="s">
        <v>699</v>
      </c>
    </row>
    <row r="28" spans="1:17">
      <c r="A28" s="177">
        <v>45108</v>
      </c>
      <c r="B28" t="s">
        <v>528</v>
      </c>
      <c r="C28" t="s">
        <v>15</v>
      </c>
      <c r="D28" s="684">
        <v>1</v>
      </c>
      <c r="E28" s="684">
        <v>5</v>
      </c>
      <c r="F28" t="s">
        <v>18</v>
      </c>
      <c r="G28" s="684">
        <v>1</v>
      </c>
      <c r="H28" s="684">
        <v>48.98</v>
      </c>
      <c r="I28" t="s">
        <v>699</v>
      </c>
    </row>
    <row r="29" spans="1:17">
      <c r="A29" s="177">
        <v>45108</v>
      </c>
      <c r="B29" t="s">
        <v>528</v>
      </c>
      <c r="C29" t="s">
        <v>15</v>
      </c>
      <c r="D29" s="684">
        <v>1</v>
      </c>
      <c r="E29" s="684">
        <v>5</v>
      </c>
      <c r="F29" t="s">
        <v>19</v>
      </c>
      <c r="G29" s="684">
        <v>1</v>
      </c>
      <c r="H29" s="684">
        <v>48.98</v>
      </c>
      <c r="I29" t="s">
        <v>699</v>
      </c>
    </row>
    <row r="30" spans="1:17">
      <c r="A30" s="177">
        <v>45108</v>
      </c>
      <c r="B30" t="s">
        <v>528</v>
      </c>
      <c r="C30" t="s">
        <v>15</v>
      </c>
      <c r="D30" s="684">
        <v>1</v>
      </c>
      <c r="E30" s="684">
        <v>5</v>
      </c>
      <c r="F30" t="s">
        <v>20</v>
      </c>
      <c r="G30" s="684">
        <v>1.0629</v>
      </c>
      <c r="H30" s="684">
        <v>52.06</v>
      </c>
      <c r="I30" t="s">
        <v>699</v>
      </c>
    </row>
    <row r="31" spans="1:17">
      <c r="A31" s="177">
        <v>45108</v>
      </c>
      <c r="B31" t="s">
        <v>528</v>
      </c>
      <c r="C31" t="s">
        <v>15</v>
      </c>
      <c r="D31" s="684">
        <v>1</v>
      </c>
      <c r="E31" s="684">
        <v>5</v>
      </c>
      <c r="F31" t="s">
        <v>21</v>
      </c>
      <c r="G31" s="684">
        <v>1</v>
      </c>
      <c r="H31" s="684">
        <v>48.98</v>
      </c>
      <c r="I31" t="s">
        <v>699</v>
      </c>
    </row>
    <row r="32" spans="1:17">
      <c r="A32" s="177">
        <v>45108</v>
      </c>
      <c r="B32" t="s">
        <v>529</v>
      </c>
      <c r="C32" t="s">
        <v>15</v>
      </c>
      <c r="D32" s="684">
        <v>2</v>
      </c>
      <c r="E32" s="684">
        <v>1</v>
      </c>
      <c r="F32" t="s">
        <v>16</v>
      </c>
      <c r="G32" s="684">
        <v>1</v>
      </c>
      <c r="H32" s="684">
        <v>34.409999999999997</v>
      </c>
      <c r="I32" t="s">
        <v>699</v>
      </c>
    </row>
    <row r="33" spans="1:9">
      <c r="A33" s="177">
        <v>45108</v>
      </c>
      <c r="B33" t="s">
        <v>529</v>
      </c>
      <c r="C33" t="s">
        <v>15</v>
      </c>
      <c r="D33" s="684">
        <v>2</v>
      </c>
      <c r="E33" s="684">
        <v>1</v>
      </c>
      <c r="F33" t="s">
        <v>17</v>
      </c>
      <c r="G33" s="684">
        <v>1.0789</v>
      </c>
      <c r="H33" s="684">
        <v>37.119999999999997</v>
      </c>
      <c r="I33" t="s">
        <v>699</v>
      </c>
    </row>
    <row r="34" spans="1:9">
      <c r="A34" s="177">
        <v>45108</v>
      </c>
      <c r="B34" t="s">
        <v>529</v>
      </c>
      <c r="C34" t="s">
        <v>15</v>
      </c>
      <c r="D34" s="684">
        <v>2</v>
      </c>
      <c r="E34" s="684">
        <v>1</v>
      </c>
      <c r="F34" t="s">
        <v>18</v>
      </c>
      <c r="G34" s="684">
        <v>1</v>
      </c>
      <c r="H34" s="684">
        <v>34.409999999999997</v>
      </c>
      <c r="I34" t="s">
        <v>699</v>
      </c>
    </row>
    <row r="35" spans="1:9">
      <c r="A35" s="177">
        <v>45108</v>
      </c>
      <c r="B35" t="s">
        <v>529</v>
      </c>
      <c r="C35" t="s">
        <v>15</v>
      </c>
      <c r="D35" s="684">
        <v>2</v>
      </c>
      <c r="E35" s="684">
        <v>1</v>
      </c>
      <c r="F35" t="s">
        <v>19</v>
      </c>
      <c r="G35" s="684">
        <v>1</v>
      </c>
      <c r="H35" s="684">
        <v>34.409999999999997</v>
      </c>
      <c r="I35" t="s">
        <v>699</v>
      </c>
    </row>
    <row r="36" spans="1:9">
      <c r="A36" s="177">
        <v>45108</v>
      </c>
      <c r="B36" t="s">
        <v>529</v>
      </c>
      <c r="C36" t="s">
        <v>15</v>
      </c>
      <c r="D36" s="684">
        <v>2</v>
      </c>
      <c r="E36" s="684">
        <v>1</v>
      </c>
      <c r="F36" t="s">
        <v>20</v>
      </c>
      <c r="G36" s="684">
        <v>1.0629</v>
      </c>
      <c r="H36" s="684">
        <v>36.57</v>
      </c>
      <c r="I36" t="s">
        <v>699</v>
      </c>
    </row>
    <row r="37" spans="1:9">
      <c r="A37" s="177">
        <v>45108</v>
      </c>
      <c r="B37" t="s">
        <v>529</v>
      </c>
      <c r="C37" t="s">
        <v>15</v>
      </c>
      <c r="D37" s="684">
        <v>2</v>
      </c>
      <c r="E37" s="684">
        <v>1</v>
      </c>
      <c r="F37" t="s">
        <v>21</v>
      </c>
      <c r="G37" s="684">
        <v>1</v>
      </c>
      <c r="H37" s="684">
        <v>34.409999999999997</v>
      </c>
      <c r="I37" t="s">
        <v>699</v>
      </c>
    </row>
    <row r="38" spans="1:9">
      <c r="A38" s="177">
        <v>45108</v>
      </c>
      <c r="B38" t="s">
        <v>530</v>
      </c>
      <c r="C38" t="s">
        <v>15</v>
      </c>
      <c r="D38" s="684">
        <v>2</v>
      </c>
      <c r="E38" s="684">
        <v>2</v>
      </c>
      <c r="F38" t="s">
        <v>16</v>
      </c>
      <c r="G38" s="684">
        <v>1</v>
      </c>
      <c r="H38" s="684">
        <v>37.39</v>
      </c>
      <c r="I38" t="s">
        <v>699</v>
      </c>
    </row>
    <row r="39" spans="1:9">
      <c r="A39" s="177">
        <v>45108</v>
      </c>
      <c r="B39" t="s">
        <v>530</v>
      </c>
      <c r="C39" t="s">
        <v>15</v>
      </c>
      <c r="D39" s="684">
        <v>2</v>
      </c>
      <c r="E39" s="684">
        <v>2</v>
      </c>
      <c r="F39" t="s">
        <v>17</v>
      </c>
      <c r="G39" s="684">
        <v>1.0789</v>
      </c>
      <c r="H39" s="684">
        <v>40.340000000000003</v>
      </c>
      <c r="I39" t="s">
        <v>699</v>
      </c>
    </row>
    <row r="40" spans="1:9">
      <c r="A40" s="177">
        <v>45108</v>
      </c>
      <c r="B40" t="s">
        <v>530</v>
      </c>
      <c r="C40" t="s">
        <v>15</v>
      </c>
      <c r="D40" s="684">
        <v>2</v>
      </c>
      <c r="E40" s="684">
        <v>2</v>
      </c>
      <c r="F40" t="s">
        <v>18</v>
      </c>
      <c r="G40" s="684">
        <v>1</v>
      </c>
      <c r="H40" s="684">
        <v>37.39</v>
      </c>
      <c r="I40" t="s">
        <v>699</v>
      </c>
    </row>
    <row r="41" spans="1:9">
      <c r="A41" s="177">
        <v>45108</v>
      </c>
      <c r="B41" t="s">
        <v>530</v>
      </c>
      <c r="C41" t="s">
        <v>15</v>
      </c>
      <c r="D41" s="684">
        <v>2</v>
      </c>
      <c r="E41" s="684">
        <v>2</v>
      </c>
      <c r="F41" t="s">
        <v>19</v>
      </c>
      <c r="G41" s="684">
        <v>1</v>
      </c>
      <c r="H41" s="684">
        <v>37.39</v>
      </c>
      <c r="I41" t="s">
        <v>699</v>
      </c>
    </row>
    <row r="42" spans="1:9">
      <c r="A42" s="177">
        <v>45108</v>
      </c>
      <c r="B42" t="s">
        <v>530</v>
      </c>
      <c r="C42" t="s">
        <v>15</v>
      </c>
      <c r="D42" s="684">
        <v>2</v>
      </c>
      <c r="E42" s="684">
        <v>2</v>
      </c>
      <c r="F42" t="s">
        <v>20</v>
      </c>
      <c r="G42" s="684">
        <v>1.0629</v>
      </c>
      <c r="H42" s="684">
        <v>39.74</v>
      </c>
      <c r="I42" t="s">
        <v>699</v>
      </c>
    </row>
    <row r="43" spans="1:9">
      <c r="A43" s="177">
        <v>45108</v>
      </c>
      <c r="B43" t="s">
        <v>530</v>
      </c>
      <c r="C43" t="s">
        <v>15</v>
      </c>
      <c r="D43" s="684">
        <v>2</v>
      </c>
      <c r="E43" s="684">
        <v>2</v>
      </c>
      <c r="F43" t="s">
        <v>21</v>
      </c>
      <c r="G43" s="684">
        <v>1</v>
      </c>
      <c r="H43" s="684">
        <v>37.39</v>
      </c>
      <c r="I43" t="s">
        <v>699</v>
      </c>
    </row>
    <row r="44" spans="1:9">
      <c r="A44" s="177">
        <v>45108</v>
      </c>
      <c r="B44" t="s">
        <v>531</v>
      </c>
      <c r="C44" t="s">
        <v>15</v>
      </c>
      <c r="D44" s="684">
        <v>2</v>
      </c>
      <c r="E44" s="684">
        <v>3</v>
      </c>
      <c r="F44" t="s">
        <v>16</v>
      </c>
      <c r="G44" s="684">
        <v>1</v>
      </c>
      <c r="H44" s="684">
        <v>42.28</v>
      </c>
      <c r="I44" t="s">
        <v>699</v>
      </c>
    </row>
    <row r="45" spans="1:9">
      <c r="A45" s="177">
        <v>45108</v>
      </c>
      <c r="B45" t="s">
        <v>531</v>
      </c>
      <c r="C45" t="s">
        <v>15</v>
      </c>
      <c r="D45" s="684">
        <v>2</v>
      </c>
      <c r="E45" s="684">
        <v>3</v>
      </c>
      <c r="F45" t="s">
        <v>17</v>
      </c>
      <c r="G45" s="684">
        <v>1.0789</v>
      </c>
      <c r="H45" s="684">
        <v>45.62</v>
      </c>
      <c r="I45" t="s">
        <v>699</v>
      </c>
    </row>
    <row r="46" spans="1:9">
      <c r="A46" s="177">
        <v>45108</v>
      </c>
      <c r="B46" t="s">
        <v>531</v>
      </c>
      <c r="C46" t="s">
        <v>15</v>
      </c>
      <c r="D46" s="684">
        <v>2</v>
      </c>
      <c r="E46" s="684">
        <v>3</v>
      </c>
      <c r="F46" t="s">
        <v>18</v>
      </c>
      <c r="G46" s="684">
        <v>1</v>
      </c>
      <c r="H46" s="684">
        <v>42.28</v>
      </c>
      <c r="I46" t="s">
        <v>699</v>
      </c>
    </row>
    <row r="47" spans="1:9">
      <c r="A47" s="177">
        <v>45108</v>
      </c>
      <c r="B47" t="s">
        <v>531</v>
      </c>
      <c r="C47" t="s">
        <v>15</v>
      </c>
      <c r="D47" s="684">
        <v>2</v>
      </c>
      <c r="E47" s="684">
        <v>3</v>
      </c>
      <c r="F47" t="s">
        <v>19</v>
      </c>
      <c r="G47" s="684">
        <v>1</v>
      </c>
      <c r="H47" s="684">
        <v>42.28</v>
      </c>
      <c r="I47" t="s">
        <v>699</v>
      </c>
    </row>
    <row r="48" spans="1:9">
      <c r="A48" s="177">
        <v>45108</v>
      </c>
      <c r="B48" t="s">
        <v>531</v>
      </c>
      <c r="C48" t="s">
        <v>15</v>
      </c>
      <c r="D48" s="684">
        <v>2</v>
      </c>
      <c r="E48" s="684">
        <v>3</v>
      </c>
      <c r="F48" t="s">
        <v>20</v>
      </c>
      <c r="G48" s="684">
        <v>1.0629</v>
      </c>
      <c r="H48" s="684">
        <v>44.94</v>
      </c>
      <c r="I48" t="s">
        <v>699</v>
      </c>
    </row>
    <row r="49" spans="1:9">
      <c r="A49" s="177">
        <v>45108</v>
      </c>
      <c r="B49" t="s">
        <v>531</v>
      </c>
      <c r="C49" t="s">
        <v>15</v>
      </c>
      <c r="D49" s="684">
        <v>2</v>
      </c>
      <c r="E49" s="684">
        <v>3</v>
      </c>
      <c r="F49" t="s">
        <v>21</v>
      </c>
      <c r="G49" s="684">
        <v>1</v>
      </c>
      <c r="H49" s="684">
        <v>42.28</v>
      </c>
      <c r="I49" t="s">
        <v>699</v>
      </c>
    </row>
    <row r="50" spans="1:9">
      <c r="A50" s="177">
        <v>45108</v>
      </c>
      <c r="B50" t="s">
        <v>532</v>
      </c>
      <c r="C50" t="s">
        <v>15</v>
      </c>
      <c r="D50" s="684">
        <v>2</v>
      </c>
      <c r="E50" s="684">
        <v>4</v>
      </c>
      <c r="F50" t="s">
        <v>16</v>
      </c>
      <c r="G50" s="684">
        <v>1</v>
      </c>
      <c r="H50" s="684">
        <v>48.78</v>
      </c>
      <c r="I50" t="s">
        <v>699</v>
      </c>
    </row>
    <row r="51" spans="1:9">
      <c r="A51" s="177">
        <v>45108</v>
      </c>
      <c r="B51" t="s">
        <v>532</v>
      </c>
      <c r="C51" t="s">
        <v>15</v>
      </c>
      <c r="D51" s="684">
        <v>2</v>
      </c>
      <c r="E51" s="684">
        <v>4</v>
      </c>
      <c r="F51" t="s">
        <v>17</v>
      </c>
      <c r="G51" s="684">
        <v>1.0789</v>
      </c>
      <c r="H51" s="684">
        <v>52.63</v>
      </c>
      <c r="I51" t="s">
        <v>699</v>
      </c>
    </row>
    <row r="52" spans="1:9">
      <c r="A52" s="177">
        <v>45108</v>
      </c>
      <c r="B52" t="s">
        <v>532</v>
      </c>
      <c r="C52" t="s">
        <v>15</v>
      </c>
      <c r="D52" s="684">
        <v>2</v>
      </c>
      <c r="E52" s="684">
        <v>4</v>
      </c>
      <c r="F52" t="s">
        <v>18</v>
      </c>
      <c r="G52" s="684">
        <v>1</v>
      </c>
      <c r="H52" s="684">
        <v>48.78</v>
      </c>
      <c r="I52" t="s">
        <v>699</v>
      </c>
    </row>
    <row r="53" spans="1:9">
      <c r="A53" s="177">
        <v>45108</v>
      </c>
      <c r="B53" t="s">
        <v>532</v>
      </c>
      <c r="C53" t="s">
        <v>15</v>
      </c>
      <c r="D53" s="684">
        <v>2</v>
      </c>
      <c r="E53" s="684">
        <v>4</v>
      </c>
      <c r="F53" t="s">
        <v>19</v>
      </c>
      <c r="G53" s="684">
        <v>1</v>
      </c>
      <c r="H53" s="684">
        <v>48.78</v>
      </c>
      <c r="I53" t="s">
        <v>699</v>
      </c>
    </row>
    <row r="54" spans="1:9">
      <c r="A54" s="177">
        <v>45108</v>
      </c>
      <c r="B54" t="s">
        <v>532</v>
      </c>
      <c r="C54" t="s">
        <v>15</v>
      </c>
      <c r="D54" s="684">
        <v>2</v>
      </c>
      <c r="E54" s="684">
        <v>4</v>
      </c>
      <c r="F54" t="s">
        <v>20</v>
      </c>
      <c r="G54" s="684">
        <v>1.0629</v>
      </c>
      <c r="H54" s="684">
        <v>51.85</v>
      </c>
      <c r="I54" t="s">
        <v>699</v>
      </c>
    </row>
    <row r="55" spans="1:9">
      <c r="A55" s="177">
        <v>45108</v>
      </c>
      <c r="B55" t="s">
        <v>532</v>
      </c>
      <c r="C55" t="s">
        <v>15</v>
      </c>
      <c r="D55" s="684">
        <v>2</v>
      </c>
      <c r="E55" s="684">
        <v>4</v>
      </c>
      <c r="F55" t="s">
        <v>21</v>
      </c>
      <c r="G55" s="684">
        <v>1</v>
      </c>
      <c r="H55" s="684">
        <v>48.78</v>
      </c>
      <c r="I55" t="s">
        <v>699</v>
      </c>
    </row>
    <row r="56" spans="1:9">
      <c r="A56" s="177">
        <v>45108</v>
      </c>
      <c r="B56" t="s">
        <v>533</v>
      </c>
      <c r="C56" t="s">
        <v>15</v>
      </c>
      <c r="D56" s="684">
        <v>2</v>
      </c>
      <c r="E56" s="684">
        <v>5</v>
      </c>
      <c r="F56" t="s">
        <v>16</v>
      </c>
      <c r="G56" s="684">
        <v>1</v>
      </c>
      <c r="H56" s="684">
        <v>54.56</v>
      </c>
      <c r="I56" t="s">
        <v>699</v>
      </c>
    </row>
    <row r="57" spans="1:9">
      <c r="A57" s="177">
        <v>45108</v>
      </c>
      <c r="B57" t="s">
        <v>533</v>
      </c>
      <c r="C57" t="s">
        <v>15</v>
      </c>
      <c r="D57" s="684">
        <v>2</v>
      </c>
      <c r="E57" s="684">
        <v>5</v>
      </c>
      <c r="F57" t="s">
        <v>17</v>
      </c>
      <c r="G57" s="684">
        <v>1.0789</v>
      </c>
      <c r="H57" s="684">
        <v>58.86</v>
      </c>
      <c r="I57" t="s">
        <v>699</v>
      </c>
    </row>
    <row r="58" spans="1:9">
      <c r="A58" s="177">
        <v>45108</v>
      </c>
      <c r="B58" t="s">
        <v>533</v>
      </c>
      <c r="C58" t="s">
        <v>15</v>
      </c>
      <c r="D58" s="684">
        <v>2</v>
      </c>
      <c r="E58" s="684">
        <v>5</v>
      </c>
      <c r="F58" t="s">
        <v>18</v>
      </c>
      <c r="G58" s="684">
        <v>1</v>
      </c>
      <c r="H58" s="684">
        <v>54.56</v>
      </c>
      <c r="I58" t="s">
        <v>699</v>
      </c>
    </row>
    <row r="59" spans="1:9">
      <c r="A59" s="177">
        <v>45108</v>
      </c>
      <c r="B59" t="s">
        <v>533</v>
      </c>
      <c r="C59" t="s">
        <v>15</v>
      </c>
      <c r="D59" s="684">
        <v>2</v>
      </c>
      <c r="E59" s="684">
        <v>5</v>
      </c>
      <c r="F59" t="s">
        <v>19</v>
      </c>
      <c r="G59" s="684">
        <v>1</v>
      </c>
      <c r="H59" s="684">
        <v>54.56</v>
      </c>
      <c r="I59" t="s">
        <v>699</v>
      </c>
    </row>
    <row r="60" spans="1:9">
      <c r="A60" s="177">
        <v>45108</v>
      </c>
      <c r="B60" t="s">
        <v>533</v>
      </c>
      <c r="C60" t="s">
        <v>15</v>
      </c>
      <c r="D60" s="684">
        <v>2</v>
      </c>
      <c r="E60" s="684">
        <v>5</v>
      </c>
      <c r="F60" t="s">
        <v>20</v>
      </c>
      <c r="G60" s="684">
        <v>1.0629</v>
      </c>
      <c r="H60" s="684">
        <v>57.99</v>
      </c>
      <c r="I60" t="s">
        <v>699</v>
      </c>
    </row>
    <row r="61" spans="1:9">
      <c r="A61" s="177">
        <v>45108</v>
      </c>
      <c r="B61" t="s">
        <v>533</v>
      </c>
      <c r="C61" t="s">
        <v>15</v>
      </c>
      <c r="D61" s="684">
        <v>2</v>
      </c>
      <c r="E61" s="684">
        <v>5</v>
      </c>
      <c r="F61" t="s">
        <v>21</v>
      </c>
      <c r="G61" s="684">
        <v>1</v>
      </c>
      <c r="H61" s="684">
        <v>54.56</v>
      </c>
      <c r="I61" t="s">
        <v>699</v>
      </c>
    </row>
    <row r="62" spans="1:9">
      <c r="A62" s="177">
        <v>45108</v>
      </c>
      <c r="B62" t="s">
        <v>534</v>
      </c>
      <c r="C62" t="s">
        <v>15</v>
      </c>
      <c r="D62" s="684">
        <v>3</v>
      </c>
      <c r="E62" s="684">
        <v>1</v>
      </c>
      <c r="F62" t="s">
        <v>16</v>
      </c>
      <c r="G62" s="684">
        <v>1</v>
      </c>
      <c r="H62" s="684">
        <v>45.32</v>
      </c>
      <c r="I62" t="s">
        <v>699</v>
      </c>
    </row>
    <row r="63" spans="1:9">
      <c r="A63" s="177">
        <v>45108</v>
      </c>
      <c r="B63" t="s">
        <v>534</v>
      </c>
      <c r="C63" t="s">
        <v>15</v>
      </c>
      <c r="D63" s="684">
        <v>3</v>
      </c>
      <c r="E63" s="684">
        <v>1</v>
      </c>
      <c r="F63" t="s">
        <v>17</v>
      </c>
      <c r="G63" s="684">
        <v>1.0789</v>
      </c>
      <c r="H63" s="684">
        <v>48.9</v>
      </c>
      <c r="I63" t="s">
        <v>699</v>
      </c>
    </row>
    <row r="64" spans="1:9">
      <c r="A64" s="177">
        <v>45108</v>
      </c>
      <c r="B64" t="s">
        <v>534</v>
      </c>
      <c r="C64" t="s">
        <v>15</v>
      </c>
      <c r="D64" s="684">
        <v>3</v>
      </c>
      <c r="E64" s="684">
        <v>1</v>
      </c>
      <c r="F64" t="s">
        <v>18</v>
      </c>
      <c r="G64" s="684">
        <v>1</v>
      </c>
      <c r="H64" s="684">
        <v>45.32</v>
      </c>
      <c r="I64" t="s">
        <v>699</v>
      </c>
    </row>
    <row r="65" spans="1:9">
      <c r="A65" s="177">
        <v>45108</v>
      </c>
      <c r="B65" t="s">
        <v>534</v>
      </c>
      <c r="C65" t="s">
        <v>15</v>
      </c>
      <c r="D65" s="684">
        <v>3</v>
      </c>
      <c r="E65" s="684">
        <v>1</v>
      </c>
      <c r="F65" t="s">
        <v>19</v>
      </c>
      <c r="G65" s="684">
        <v>1</v>
      </c>
      <c r="H65" s="684">
        <v>45.32</v>
      </c>
      <c r="I65" t="s">
        <v>699</v>
      </c>
    </row>
    <row r="66" spans="1:9">
      <c r="A66" s="177">
        <v>45108</v>
      </c>
      <c r="B66" t="s">
        <v>534</v>
      </c>
      <c r="C66" t="s">
        <v>15</v>
      </c>
      <c r="D66" s="684">
        <v>3</v>
      </c>
      <c r="E66" s="684">
        <v>1</v>
      </c>
      <c r="F66" t="s">
        <v>20</v>
      </c>
      <c r="G66" s="684">
        <v>1.0629</v>
      </c>
      <c r="H66" s="684">
        <v>48.17</v>
      </c>
      <c r="I66" t="s">
        <v>699</v>
      </c>
    </row>
    <row r="67" spans="1:9">
      <c r="A67" s="177">
        <v>45108</v>
      </c>
      <c r="B67" t="s">
        <v>534</v>
      </c>
      <c r="C67" t="s">
        <v>15</v>
      </c>
      <c r="D67" s="684">
        <v>3</v>
      </c>
      <c r="E67" s="684">
        <v>1</v>
      </c>
      <c r="F67" t="s">
        <v>21</v>
      </c>
      <c r="G67" s="684">
        <v>1</v>
      </c>
      <c r="H67" s="684">
        <v>45.32</v>
      </c>
      <c r="I67" t="s">
        <v>699</v>
      </c>
    </row>
    <row r="68" spans="1:9">
      <c r="A68" s="177">
        <v>45108</v>
      </c>
      <c r="B68" t="s">
        <v>535</v>
      </c>
      <c r="C68" t="s">
        <v>15</v>
      </c>
      <c r="D68" s="684">
        <v>3</v>
      </c>
      <c r="E68" s="684">
        <v>2</v>
      </c>
      <c r="F68" t="s">
        <v>16</v>
      </c>
      <c r="G68" s="684">
        <v>1</v>
      </c>
      <c r="H68" s="684">
        <v>48.34</v>
      </c>
      <c r="I68" t="s">
        <v>699</v>
      </c>
    </row>
    <row r="69" spans="1:9">
      <c r="A69" s="177">
        <v>45108</v>
      </c>
      <c r="B69" t="s">
        <v>535</v>
      </c>
      <c r="C69" t="s">
        <v>15</v>
      </c>
      <c r="D69" s="684">
        <v>3</v>
      </c>
      <c r="E69" s="684">
        <v>2</v>
      </c>
      <c r="F69" t="s">
        <v>17</v>
      </c>
      <c r="G69" s="684">
        <v>1.0789</v>
      </c>
      <c r="H69" s="684">
        <v>52.15</v>
      </c>
      <c r="I69" t="s">
        <v>699</v>
      </c>
    </row>
    <row r="70" spans="1:9">
      <c r="A70" s="177">
        <v>45108</v>
      </c>
      <c r="B70" t="s">
        <v>535</v>
      </c>
      <c r="C70" t="s">
        <v>15</v>
      </c>
      <c r="D70" s="684">
        <v>3</v>
      </c>
      <c r="E70" s="684">
        <v>2</v>
      </c>
      <c r="F70" t="s">
        <v>18</v>
      </c>
      <c r="G70" s="684">
        <v>1</v>
      </c>
      <c r="H70" s="684">
        <v>48.34</v>
      </c>
      <c r="I70" t="s">
        <v>699</v>
      </c>
    </row>
    <row r="71" spans="1:9">
      <c r="A71" s="177">
        <v>45108</v>
      </c>
      <c r="B71" t="s">
        <v>535</v>
      </c>
      <c r="C71" t="s">
        <v>15</v>
      </c>
      <c r="D71" s="684">
        <v>3</v>
      </c>
      <c r="E71" s="684">
        <v>2</v>
      </c>
      <c r="F71" t="s">
        <v>19</v>
      </c>
      <c r="G71" s="684">
        <v>1</v>
      </c>
      <c r="H71" s="684">
        <v>48.34</v>
      </c>
      <c r="I71" t="s">
        <v>699</v>
      </c>
    </row>
    <row r="72" spans="1:9">
      <c r="A72" s="177">
        <v>45108</v>
      </c>
      <c r="B72" t="s">
        <v>535</v>
      </c>
      <c r="C72" t="s">
        <v>15</v>
      </c>
      <c r="D72" s="684">
        <v>3</v>
      </c>
      <c r="E72" s="684">
        <v>2</v>
      </c>
      <c r="F72" t="s">
        <v>20</v>
      </c>
      <c r="G72" s="684">
        <v>1.0629</v>
      </c>
      <c r="H72" s="684">
        <v>51.38</v>
      </c>
      <c r="I72" t="s">
        <v>699</v>
      </c>
    </row>
    <row r="73" spans="1:9">
      <c r="A73" s="177">
        <v>45108</v>
      </c>
      <c r="B73" t="s">
        <v>535</v>
      </c>
      <c r="C73" t="s">
        <v>15</v>
      </c>
      <c r="D73" s="684">
        <v>3</v>
      </c>
      <c r="E73" s="684">
        <v>2</v>
      </c>
      <c r="F73" t="s">
        <v>21</v>
      </c>
      <c r="G73" s="684">
        <v>1</v>
      </c>
      <c r="H73" s="684">
        <v>48.34</v>
      </c>
      <c r="I73" t="s">
        <v>699</v>
      </c>
    </row>
    <row r="74" spans="1:9">
      <c r="A74" s="177">
        <v>45108</v>
      </c>
      <c r="B74" t="s">
        <v>536</v>
      </c>
      <c r="C74" t="s">
        <v>15</v>
      </c>
      <c r="D74" s="684">
        <v>3</v>
      </c>
      <c r="E74" s="684">
        <v>3</v>
      </c>
      <c r="F74" t="s">
        <v>16</v>
      </c>
      <c r="G74" s="684">
        <v>1</v>
      </c>
      <c r="H74" s="684">
        <v>53.2</v>
      </c>
      <c r="I74" t="s">
        <v>699</v>
      </c>
    </row>
    <row r="75" spans="1:9">
      <c r="A75" s="177">
        <v>45108</v>
      </c>
      <c r="B75" t="s">
        <v>536</v>
      </c>
      <c r="C75" t="s">
        <v>15</v>
      </c>
      <c r="D75" s="684">
        <v>3</v>
      </c>
      <c r="E75" s="684">
        <v>3</v>
      </c>
      <c r="F75" t="s">
        <v>17</v>
      </c>
      <c r="G75" s="684">
        <v>1.0789</v>
      </c>
      <c r="H75" s="684">
        <v>57.4</v>
      </c>
      <c r="I75" t="s">
        <v>699</v>
      </c>
    </row>
    <row r="76" spans="1:9">
      <c r="A76" s="177">
        <v>45108</v>
      </c>
      <c r="B76" t="s">
        <v>536</v>
      </c>
      <c r="C76" t="s">
        <v>15</v>
      </c>
      <c r="D76" s="684">
        <v>3</v>
      </c>
      <c r="E76" s="684">
        <v>3</v>
      </c>
      <c r="F76" t="s">
        <v>18</v>
      </c>
      <c r="G76" s="684">
        <v>1</v>
      </c>
      <c r="H76" s="684">
        <v>53.2</v>
      </c>
      <c r="I76" t="s">
        <v>699</v>
      </c>
    </row>
    <row r="77" spans="1:9">
      <c r="A77" s="177">
        <v>45108</v>
      </c>
      <c r="B77" t="s">
        <v>536</v>
      </c>
      <c r="C77" t="s">
        <v>15</v>
      </c>
      <c r="D77" s="684">
        <v>3</v>
      </c>
      <c r="E77" s="684">
        <v>3</v>
      </c>
      <c r="F77" t="s">
        <v>19</v>
      </c>
      <c r="G77" s="684">
        <v>1</v>
      </c>
      <c r="H77" s="684">
        <v>53.2</v>
      </c>
      <c r="I77" t="s">
        <v>699</v>
      </c>
    </row>
    <row r="78" spans="1:9">
      <c r="A78" s="177">
        <v>45108</v>
      </c>
      <c r="B78" t="s">
        <v>536</v>
      </c>
      <c r="C78" t="s">
        <v>15</v>
      </c>
      <c r="D78" s="684">
        <v>3</v>
      </c>
      <c r="E78" s="684">
        <v>3</v>
      </c>
      <c r="F78" t="s">
        <v>20</v>
      </c>
      <c r="G78" s="684">
        <v>1.0629</v>
      </c>
      <c r="H78" s="684">
        <v>56.55</v>
      </c>
      <c r="I78" t="s">
        <v>699</v>
      </c>
    </row>
    <row r="79" spans="1:9">
      <c r="A79" s="177">
        <v>45108</v>
      </c>
      <c r="B79" t="s">
        <v>536</v>
      </c>
      <c r="C79" t="s">
        <v>15</v>
      </c>
      <c r="D79" s="684">
        <v>3</v>
      </c>
      <c r="E79" s="684">
        <v>3</v>
      </c>
      <c r="F79" t="s">
        <v>21</v>
      </c>
      <c r="G79" s="684">
        <v>1</v>
      </c>
      <c r="H79" s="684">
        <v>53.2</v>
      </c>
      <c r="I79" t="s">
        <v>699</v>
      </c>
    </row>
    <row r="80" spans="1:9">
      <c r="A80" s="177">
        <v>45108</v>
      </c>
      <c r="B80" t="s">
        <v>537</v>
      </c>
      <c r="C80" t="s">
        <v>15</v>
      </c>
      <c r="D80" s="684">
        <v>3</v>
      </c>
      <c r="E80" s="684">
        <v>4</v>
      </c>
      <c r="F80" t="s">
        <v>16</v>
      </c>
      <c r="G80" s="684">
        <v>1</v>
      </c>
      <c r="H80" s="684">
        <v>59.72</v>
      </c>
      <c r="I80" t="s">
        <v>699</v>
      </c>
    </row>
    <row r="81" spans="1:9">
      <c r="A81" s="177">
        <v>45108</v>
      </c>
      <c r="B81" t="s">
        <v>537</v>
      </c>
      <c r="C81" t="s">
        <v>15</v>
      </c>
      <c r="D81" s="684">
        <v>3</v>
      </c>
      <c r="E81" s="684">
        <v>4</v>
      </c>
      <c r="F81" t="s">
        <v>17</v>
      </c>
      <c r="G81" s="684">
        <v>1.0789</v>
      </c>
      <c r="H81" s="684">
        <v>64.430000000000007</v>
      </c>
      <c r="I81" t="s">
        <v>699</v>
      </c>
    </row>
    <row r="82" spans="1:9">
      <c r="A82" s="177">
        <v>45108</v>
      </c>
      <c r="B82" t="s">
        <v>537</v>
      </c>
      <c r="C82" t="s">
        <v>15</v>
      </c>
      <c r="D82" s="684">
        <v>3</v>
      </c>
      <c r="E82" s="684">
        <v>4</v>
      </c>
      <c r="F82" t="s">
        <v>18</v>
      </c>
      <c r="G82" s="684">
        <v>1</v>
      </c>
      <c r="H82" s="684">
        <v>59.72</v>
      </c>
      <c r="I82" t="s">
        <v>699</v>
      </c>
    </row>
    <row r="83" spans="1:9">
      <c r="A83" s="177">
        <v>45108</v>
      </c>
      <c r="B83" t="s">
        <v>537</v>
      </c>
      <c r="C83" t="s">
        <v>15</v>
      </c>
      <c r="D83" s="684">
        <v>3</v>
      </c>
      <c r="E83" s="684">
        <v>4</v>
      </c>
      <c r="F83" t="s">
        <v>19</v>
      </c>
      <c r="G83" s="684">
        <v>1</v>
      </c>
      <c r="H83" s="684">
        <v>59.72</v>
      </c>
      <c r="I83" t="s">
        <v>699</v>
      </c>
    </row>
    <row r="84" spans="1:9">
      <c r="A84" s="177">
        <v>45108</v>
      </c>
      <c r="B84" t="s">
        <v>537</v>
      </c>
      <c r="C84" t="s">
        <v>15</v>
      </c>
      <c r="D84" s="684">
        <v>3</v>
      </c>
      <c r="E84" s="684">
        <v>4</v>
      </c>
      <c r="F84" t="s">
        <v>20</v>
      </c>
      <c r="G84" s="684">
        <v>1.0629</v>
      </c>
      <c r="H84" s="684">
        <v>63.48</v>
      </c>
      <c r="I84" t="s">
        <v>699</v>
      </c>
    </row>
    <row r="85" spans="1:9">
      <c r="A85" s="177">
        <v>45108</v>
      </c>
      <c r="B85" t="s">
        <v>537</v>
      </c>
      <c r="C85" t="s">
        <v>15</v>
      </c>
      <c r="D85" s="684">
        <v>3</v>
      </c>
      <c r="E85" s="684">
        <v>4</v>
      </c>
      <c r="F85" t="s">
        <v>21</v>
      </c>
      <c r="G85" s="684">
        <v>1</v>
      </c>
      <c r="H85" s="684">
        <v>59.72</v>
      </c>
      <c r="I85" t="s">
        <v>699</v>
      </c>
    </row>
    <row r="86" spans="1:9">
      <c r="A86" s="177">
        <v>45108</v>
      </c>
      <c r="B86" t="s">
        <v>538</v>
      </c>
      <c r="C86" t="s">
        <v>15</v>
      </c>
      <c r="D86" s="684">
        <v>3</v>
      </c>
      <c r="E86" s="684">
        <v>5</v>
      </c>
      <c r="F86" t="s">
        <v>16</v>
      </c>
      <c r="G86" s="684">
        <v>1</v>
      </c>
      <c r="H86" s="684">
        <v>65.489999999999995</v>
      </c>
      <c r="I86" t="s">
        <v>699</v>
      </c>
    </row>
    <row r="87" spans="1:9">
      <c r="A87" s="177">
        <v>45108</v>
      </c>
      <c r="B87" t="s">
        <v>538</v>
      </c>
      <c r="C87" t="s">
        <v>15</v>
      </c>
      <c r="D87" s="684">
        <v>3</v>
      </c>
      <c r="E87" s="684">
        <v>5</v>
      </c>
      <c r="F87" t="s">
        <v>17</v>
      </c>
      <c r="G87" s="684">
        <v>1.0789</v>
      </c>
      <c r="H87" s="684">
        <v>70.66</v>
      </c>
      <c r="I87" t="s">
        <v>699</v>
      </c>
    </row>
    <row r="88" spans="1:9">
      <c r="A88" s="177">
        <v>45108</v>
      </c>
      <c r="B88" t="s">
        <v>538</v>
      </c>
      <c r="C88" t="s">
        <v>15</v>
      </c>
      <c r="D88" s="684">
        <v>3</v>
      </c>
      <c r="E88" s="684">
        <v>5</v>
      </c>
      <c r="F88" t="s">
        <v>18</v>
      </c>
      <c r="G88" s="684">
        <v>1</v>
      </c>
      <c r="H88" s="684">
        <v>65.489999999999995</v>
      </c>
      <c r="I88" t="s">
        <v>699</v>
      </c>
    </row>
    <row r="89" spans="1:9">
      <c r="A89" s="177">
        <v>45108</v>
      </c>
      <c r="B89" t="s">
        <v>538</v>
      </c>
      <c r="C89" t="s">
        <v>15</v>
      </c>
      <c r="D89" s="684">
        <v>3</v>
      </c>
      <c r="E89" s="684">
        <v>5</v>
      </c>
      <c r="F89" t="s">
        <v>19</v>
      </c>
      <c r="G89" s="684">
        <v>1</v>
      </c>
      <c r="H89" s="684">
        <v>65.489999999999995</v>
      </c>
      <c r="I89" t="s">
        <v>699</v>
      </c>
    </row>
    <row r="90" spans="1:9">
      <c r="A90" s="177">
        <v>45108</v>
      </c>
      <c r="B90" t="s">
        <v>538</v>
      </c>
      <c r="C90" t="s">
        <v>15</v>
      </c>
      <c r="D90" s="684">
        <v>3</v>
      </c>
      <c r="E90" s="684">
        <v>5</v>
      </c>
      <c r="F90" t="s">
        <v>20</v>
      </c>
      <c r="G90" s="684">
        <v>1.0629</v>
      </c>
      <c r="H90" s="684">
        <v>69.61</v>
      </c>
      <c r="I90" t="s">
        <v>699</v>
      </c>
    </row>
    <row r="91" spans="1:9">
      <c r="A91" s="177">
        <v>45108</v>
      </c>
      <c r="B91" t="s">
        <v>538</v>
      </c>
      <c r="C91" t="s">
        <v>15</v>
      </c>
      <c r="D91" s="684">
        <v>3</v>
      </c>
      <c r="E91" s="684">
        <v>5</v>
      </c>
      <c r="F91" t="s">
        <v>21</v>
      </c>
      <c r="G91" s="684">
        <v>1</v>
      </c>
      <c r="H91" s="684">
        <v>65.489999999999995</v>
      </c>
      <c r="I91" t="s">
        <v>699</v>
      </c>
    </row>
    <row r="92" spans="1:9">
      <c r="A92" s="177">
        <v>45108</v>
      </c>
      <c r="B92" t="s">
        <v>539</v>
      </c>
      <c r="C92" t="s">
        <v>15</v>
      </c>
      <c r="D92" s="684">
        <v>4</v>
      </c>
      <c r="E92" s="684">
        <v>1</v>
      </c>
      <c r="F92" t="s">
        <v>16</v>
      </c>
      <c r="G92" s="684">
        <v>1</v>
      </c>
      <c r="H92" s="684">
        <v>56.54</v>
      </c>
      <c r="I92" t="s">
        <v>699</v>
      </c>
    </row>
    <row r="93" spans="1:9">
      <c r="A93" s="177">
        <v>45108</v>
      </c>
      <c r="B93" t="s">
        <v>539</v>
      </c>
      <c r="C93" t="s">
        <v>15</v>
      </c>
      <c r="D93" s="684">
        <v>4</v>
      </c>
      <c r="E93" s="684">
        <v>1</v>
      </c>
      <c r="F93" t="s">
        <v>17</v>
      </c>
      <c r="G93" s="684">
        <v>1.0789</v>
      </c>
      <c r="H93" s="684">
        <v>61</v>
      </c>
      <c r="I93" t="s">
        <v>699</v>
      </c>
    </row>
    <row r="94" spans="1:9">
      <c r="A94" s="177">
        <v>45108</v>
      </c>
      <c r="B94" t="s">
        <v>539</v>
      </c>
      <c r="C94" t="s">
        <v>15</v>
      </c>
      <c r="D94" s="684">
        <v>4</v>
      </c>
      <c r="E94" s="684">
        <v>1</v>
      </c>
      <c r="F94" t="s">
        <v>18</v>
      </c>
      <c r="G94" s="684">
        <v>1</v>
      </c>
      <c r="H94" s="684">
        <v>56.54</v>
      </c>
      <c r="I94" t="s">
        <v>699</v>
      </c>
    </row>
    <row r="95" spans="1:9">
      <c r="A95" s="177">
        <v>45108</v>
      </c>
      <c r="B95" t="s">
        <v>539</v>
      </c>
      <c r="C95" t="s">
        <v>15</v>
      </c>
      <c r="D95" s="684">
        <v>4</v>
      </c>
      <c r="E95" s="684">
        <v>1</v>
      </c>
      <c r="F95" t="s">
        <v>19</v>
      </c>
      <c r="G95" s="684">
        <v>1</v>
      </c>
      <c r="H95" s="684">
        <v>56.54</v>
      </c>
      <c r="I95" t="s">
        <v>699</v>
      </c>
    </row>
    <row r="96" spans="1:9">
      <c r="A96" s="177">
        <v>45108</v>
      </c>
      <c r="B96" t="s">
        <v>539</v>
      </c>
      <c r="C96" t="s">
        <v>15</v>
      </c>
      <c r="D96" s="684">
        <v>4</v>
      </c>
      <c r="E96" s="684">
        <v>1</v>
      </c>
      <c r="F96" t="s">
        <v>20</v>
      </c>
      <c r="G96" s="684">
        <v>1.0629</v>
      </c>
      <c r="H96" s="684">
        <v>60.1</v>
      </c>
      <c r="I96" t="s">
        <v>699</v>
      </c>
    </row>
    <row r="97" spans="1:9">
      <c r="A97" s="177">
        <v>45108</v>
      </c>
      <c r="B97" t="s">
        <v>539</v>
      </c>
      <c r="C97" t="s">
        <v>15</v>
      </c>
      <c r="D97" s="684">
        <v>4</v>
      </c>
      <c r="E97" s="684">
        <v>1</v>
      </c>
      <c r="F97" t="s">
        <v>21</v>
      </c>
      <c r="G97" s="684">
        <v>1</v>
      </c>
      <c r="H97" s="684">
        <v>56.54</v>
      </c>
      <c r="I97" t="s">
        <v>699</v>
      </c>
    </row>
    <row r="98" spans="1:9">
      <c r="A98" s="177">
        <v>45108</v>
      </c>
      <c r="B98" t="s">
        <v>540</v>
      </c>
      <c r="C98" t="s">
        <v>15</v>
      </c>
      <c r="D98" s="684">
        <v>4</v>
      </c>
      <c r="E98" s="684">
        <v>2</v>
      </c>
      <c r="F98" t="s">
        <v>16</v>
      </c>
      <c r="G98" s="684">
        <v>1</v>
      </c>
      <c r="H98" s="684">
        <v>59.56</v>
      </c>
      <c r="I98" t="s">
        <v>699</v>
      </c>
    </row>
    <row r="99" spans="1:9">
      <c r="A99" s="177">
        <v>45108</v>
      </c>
      <c r="B99" t="s">
        <v>540</v>
      </c>
      <c r="C99" t="s">
        <v>15</v>
      </c>
      <c r="D99" s="684">
        <v>4</v>
      </c>
      <c r="E99" s="684">
        <v>2</v>
      </c>
      <c r="F99" t="s">
        <v>17</v>
      </c>
      <c r="G99" s="684">
        <v>1.0789</v>
      </c>
      <c r="H99" s="684">
        <v>64.260000000000005</v>
      </c>
      <c r="I99" t="s">
        <v>699</v>
      </c>
    </row>
    <row r="100" spans="1:9">
      <c r="A100" s="177">
        <v>45108</v>
      </c>
      <c r="B100" t="s">
        <v>540</v>
      </c>
      <c r="C100" t="s">
        <v>15</v>
      </c>
      <c r="D100" s="684">
        <v>4</v>
      </c>
      <c r="E100" s="684">
        <v>2</v>
      </c>
      <c r="F100" t="s">
        <v>18</v>
      </c>
      <c r="G100" s="684">
        <v>1</v>
      </c>
      <c r="H100" s="684">
        <v>59.56</v>
      </c>
      <c r="I100" t="s">
        <v>699</v>
      </c>
    </row>
    <row r="101" spans="1:9">
      <c r="A101" s="177">
        <v>45108</v>
      </c>
      <c r="B101" t="s">
        <v>540</v>
      </c>
      <c r="C101" t="s">
        <v>15</v>
      </c>
      <c r="D101" s="684">
        <v>4</v>
      </c>
      <c r="E101" s="684">
        <v>2</v>
      </c>
      <c r="F101" t="s">
        <v>19</v>
      </c>
      <c r="G101" s="684">
        <v>1</v>
      </c>
      <c r="H101" s="684">
        <v>59.56</v>
      </c>
      <c r="I101" t="s">
        <v>699</v>
      </c>
    </row>
    <row r="102" spans="1:9">
      <c r="A102" s="177">
        <v>45108</v>
      </c>
      <c r="B102" t="s">
        <v>540</v>
      </c>
      <c r="C102" t="s">
        <v>15</v>
      </c>
      <c r="D102" s="684">
        <v>4</v>
      </c>
      <c r="E102" s="684">
        <v>2</v>
      </c>
      <c r="F102" t="s">
        <v>20</v>
      </c>
      <c r="G102" s="684">
        <v>1.0629</v>
      </c>
      <c r="H102" s="684">
        <v>63.31</v>
      </c>
      <c r="I102" t="s">
        <v>699</v>
      </c>
    </row>
    <row r="103" spans="1:9">
      <c r="A103" s="177">
        <v>45108</v>
      </c>
      <c r="B103" t="s">
        <v>540</v>
      </c>
      <c r="C103" t="s">
        <v>15</v>
      </c>
      <c r="D103" s="684">
        <v>4</v>
      </c>
      <c r="E103" s="684">
        <v>2</v>
      </c>
      <c r="F103" t="s">
        <v>21</v>
      </c>
      <c r="G103" s="684">
        <v>1</v>
      </c>
      <c r="H103" s="684">
        <v>59.56</v>
      </c>
      <c r="I103" t="s">
        <v>699</v>
      </c>
    </row>
    <row r="104" spans="1:9">
      <c r="A104" s="177">
        <v>45108</v>
      </c>
      <c r="B104" t="s">
        <v>541</v>
      </c>
      <c r="C104" t="s">
        <v>15</v>
      </c>
      <c r="D104" s="684">
        <v>4</v>
      </c>
      <c r="E104" s="684">
        <v>3</v>
      </c>
      <c r="F104" t="s">
        <v>16</v>
      </c>
      <c r="G104" s="684">
        <v>1</v>
      </c>
      <c r="H104" s="684">
        <v>64.42</v>
      </c>
      <c r="I104" t="s">
        <v>699</v>
      </c>
    </row>
    <row r="105" spans="1:9">
      <c r="A105" s="177">
        <v>45108</v>
      </c>
      <c r="B105" t="s">
        <v>541</v>
      </c>
      <c r="C105" t="s">
        <v>15</v>
      </c>
      <c r="D105" s="684">
        <v>4</v>
      </c>
      <c r="E105" s="684">
        <v>3</v>
      </c>
      <c r="F105" t="s">
        <v>17</v>
      </c>
      <c r="G105" s="684">
        <v>1.0789</v>
      </c>
      <c r="H105" s="684">
        <v>69.5</v>
      </c>
      <c r="I105" t="s">
        <v>699</v>
      </c>
    </row>
    <row r="106" spans="1:9">
      <c r="A106" s="177">
        <v>45108</v>
      </c>
      <c r="B106" t="s">
        <v>541</v>
      </c>
      <c r="C106" t="s">
        <v>15</v>
      </c>
      <c r="D106" s="684">
        <v>4</v>
      </c>
      <c r="E106" s="684">
        <v>3</v>
      </c>
      <c r="F106" t="s">
        <v>18</v>
      </c>
      <c r="G106" s="684">
        <v>1</v>
      </c>
      <c r="H106" s="684">
        <v>64.42</v>
      </c>
      <c r="I106" t="s">
        <v>699</v>
      </c>
    </row>
    <row r="107" spans="1:9">
      <c r="A107" s="177">
        <v>45108</v>
      </c>
      <c r="B107" t="s">
        <v>541</v>
      </c>
      <c r="C107" t="s">
        <v>15</v>
      </c>
      <c r="D107" s="684">
        <v>4</v>
      </c>
      <c r="E107" s="684">
        <v>3</v>
      </c>
      <c r="F107" t="s">
        <v>19</v>
      </c>
      <c r="G107" s="684">
        <v>1</v>
      </c>
      <c r="H107" s="684">
        <v>64.42</v>
      </c>
      <c r="I107" t="s">
        <v>699</v>
      </c>
    </row>
    <row r="108" spans="1:9">
      <c r="A108" s="177">
        <v>45108</v>
      </c>
      <c r="B108" t="s">
        <v>541</v>
      </c>
      <c r="C108" t="s">
        <v>15</v>
      </c>
      <c r="D108" s="684">
        <v>4</v>
      </c>
      <c r="E108" s="684">
        <v>3</v>
      </c>
      <c r="F108" t="s">
        <v>20</v>
      </c>
      <c r="G108" s="684">
        <v>1.0629</v>
      </c>
      <c r="H108" s="684">
        <v>68.47</v>
      </c>
      <c r="I108" t="s">
        <v>699</v>
      </c>
    </row>
    <row r="109" spans="1:9">
      <c r="A109" s="177">
        <v>45108</v>
      </c>
      <c r="B109" t="s">
        <v>541</v>
      </c>
      <c r="C109" t="s">
        <v>15</v>
      </c>
      <c r="D109" s="684">
        <v>4</v>
      </c>
      <c r="E109" s="684">
        <v>3</v>
      </c>
      <c r="F109" t="s">
        <v>21</v>
      </c>
      <c r="G109" s="684">
        <v>1</v>
      </c>
      <c r="H109" s="684">
        <v>64.42</v>
      </c>
      <c r="I109" t="s">
        <v>699</v>
      </c>
    </row>
    <row r="110" spans="1:9">
      <c r="A110" s="177">
        <v>45108</v>
      </c>
      <c r="B110" t="s">
        <v>542</v>
      </c>
      <c r="C110" t="s">
        <v>15</v>
      </c>
      <c r="D110" s="684">
        <v>4</v>
      </c>
      <c r="E110" s="684">
        <v>4</v>
      </c>
      <c r="F110" t="s">
        <v>16</v>
      </c>
      <c r="G110" s="684">
        <v>1</v>
      </c>
      <c r="H110" s="684">
        <v>70.98</v>
      </c>
      <c r="I110" t="s">
        <v>699</v>
      </c>
    </row>
    <row r="111" spans="1:9">
      <c r="A111" s="177">
        <v>45108</v>
      </c>
      <c r="B111" t="s">
        <v>542</v>
      </c>
      <c r="C111" t="s">
        <v>15</v>
      </c>
      <c r="D111" s="684">
        <v>4</v>
      </c>
      <c r="E111" s="684">
        <v>4</v>
      </c>
      <c r="F111" t="s">
        <v>17</v>
      </c>
      <c r="G111" s="684">
        <v>1.0789</v>
      </c>
      <c r="H111" s="684">
        <v>76.58</v>
      </c>
      <c r="I111" t="s">
        <v>699</v>
      </c>
    </row>
    <row r="112" spans="1:9">
      <c r="A112" s="177">
        <v>45108</v>
      </c>
      <c r="B112" t="s">
        <v>542</v>
      </c>
      <c r="C112" t="s">
        <v>15</v>
      </c>
      <c r="D112" s="684">
        <v>4</v>
      </c>
      <c r="E112" s="684">
        <v>4</v>
      </c>
      <c r="F112" t="s">
        <v>18</v>
      </c>
      <c r="G112" s="684">
        <v>1</v>
      </c>
      <c r="H112" s="684">
        <v>70.98</v>
      </c>
      <c r="I112" t="s">
        <v>699</v>
      </c>
    </row>
    <row r="113" spans="1:9">
      <c r="A113" s="177">
        <v>45108</v>
      </c>
      <c r="B113" t="s">
        <v>542</v>
      </c>
      <c r="C113" t="s">
        <v>15</v>
      </c>
      <c r="D113" s="684">
        <v>4</v>
      </c>
      <c r="E113" s="684">
        <v>4</v>
      </c>
      <c r="F113" t="s">
        <v>19</v>
      </c>
      <c r="G113" s="684">
        <v>1</v>
      </c>
      <c r="H113" s="684">
        <v>70.98</v>
      </c>
      <c r="I113" t="s">
        <v>699</v>
      </c>
    </row>
    <row r="114" spans="1:9">
      <c r="A114" s="177">
        <v>45108</v>
      </c>
      <c r="B114" t="s">
        <v>542</v>
      </c>
      <c r="C114" t="s">
        <v>15</v>
      </c>
      <c r="D114" s="684">
        <v>4</v>
      </c>
      <c r="E114" s="684">
        <v>4</v>
      </c>
      <c r="F114" t="s">
        <v>20</v>
      </c>
      <c r="G114" s="684">
        <v>1.0629</v>
      </c>
      <c r="H114" s="684">
        <v>75.44</v>
      </c>
      <c r="I114" t="s">
        <v>699</v>
      </c>
    </row>
    <row r="115" spans="1:9">
      <c r="A115" s="177">
        <v>45108</v>
      </c>
      <c r="B115" t="s">
        <v>542</v>
      </c>
      <c r="C115" t="s">
        <v>15</v>
      </c>
      <c r="D115" s="684">
        <v>4</v>
      </c>
      <c r="E115" s="684">
        <v>4</v>
      </c>
      <c r="F115" t="s">
        <v>21</v>
      </c>
      <c r="G115" s="684">
        <v>1</v>
      </c>
      <c r="H115" s="684">
        <v>70.98</v>
      </c>
      <c r="I115" t="s">
        <v>699</v>
      </c>
    </row>
    <row r="116" spans="1:9">
      <c r="A116" s="177">
        <v>45108</v>
      </c>
      <c r="B116" t="s">
        <v>543</v>
      </c>
      <c r="C116" t="s">
        <v>15</v>
      </c>
      <c r="D116" s="684">
        <v>4</v>
      </c>
      <c r="E116" s="684">
        <v>5</v>
      </c>
      <c r="F116" t="s">
        <v>16</v>
      </c>
      <c r="G116" s="684">
        <v>1</v>
      </c>
      <c r="H116" s="684">
        <v>76.72</v>
      </c>
      <c r="I116" t="s">
        <v>699</v>
      </c>
    </row>
    <row r="117" spans="1:9">
      <c r="A117" s="177">
        <v>45108</v>
      </c>
      <c r="B117" t="s">
        <v>543</v>
      </c>
      <c r="C117" t="s">
        <v>15</v>
      </c>
      <c r="D117" s="684">
        <v>4</v>
      </c>
      <c r="E117" s="684">
        <v>5</v>
      </c>
      <c r="F117" t="s">
        <v>17</v>
      </c>
      <c r="G117" s="684">
        <v>1.0789</v>
      </c>
      <c r="H117" s="684">
        <v>82.77</v>
      </c>
      <c r="I117" t="s">
        <v>699</v>
      </c>
    </row>
    <row r="118" spans="1:9">
      <c r="A118" s="177">
        <v>45108</v>
      </c>
      <c r="B118" t="s">
        <v>543</v>
      </c>
      <c r="C118" t="s">
        <v>15</v>
      </c>
      <c r="D118" s="684">
        <v>4</v>
      </c>
      <c r="E118" s="684">
        <v>5</v>
      </c>
      <c r="F118" t="s">
        <v>18</v>
      </c>
      <c r="G118" s="684">
        <v>1</v>
      </c>
      <c r="H118" s="684">
        <v>76.72</v>
      </c>
      <c r="I118" t="s">
        <v>699</v>
      </c>
    </row>
    <row r="119" spans="1:9">
      <c r="A119" s="177">
        <v>45108</v>
      </c>
      <c r="B119" t="s">
        <v>543</v>
      </c>
      <c r="C119" t="s">
        <v>15</v>
      </c>
      <c r="D119" s="684">
        <v>4</v>
      </c>
      <c r="E119" s="684">
        <v>5</v>
      </c>
      <c r="F119" t="s">
        <v>19</v>
      </c>
      <c r="G119" s="684">
        <v>1</v>
      </c>
      <c r="H119" s="684">
        <v>76.72</v>
      </c>
      <c r="I119" t="s">
        <v>699</v>
      </c>
    </row>
    <row r="120" spans="1:9">
      <c r="A120" s="177">
        <v>45108</v>
      </c>
      <c r="B120" t="s">
        <v>543</v>
      </c>
      <c r="C120" t="s">
        <v>15</v>
      </c>
      <c r="D120" s="684">
        <v>4</v>
      </c>
      <c r="E120" s="684">
        <v>5</v>
      </c>
      <c r="F120" t="s">
        <v>20</v>
      </c>
      <c r="G120" s="684">
        <v>1.0629</v>
      </c>
      <c r="H120" s="684">
        <v>81.55</v>
      </c>
      <c r="I120" t="s">
        <v>699</v>
      </c>
    </row>
    <row r="121" spans="1:9">
      <c r="A121" s="177">
        <v>45108</v>
      </c>
      <c r="B121" t="s">
        <v>543</v>
      </c>
      <c r="C121" t="s">
        <v>15</v>
      </c>
      <c r="D121" s="684">
        <v>4</v>
      </c>
      <c r="E121" s="684">
        <v>5</v>
      </c>
      <c r="F121" t="s">
        <v>21</v>
      </c>
      <c r="G121" s="684">
        <v>1</v>
      </c>
      <c r="H121" s="684">
        <v>76.72</v>
      </c>
      <c r="I121" t="s">
        <v>699</v>
      </c>
    </row>
    <row r="122" spans="1:9">
      <c r="A122" s="177">
        <v>45108</v>
      </c>
      <c r="B122" t="s">
        <v>544</v>
      </c>
      <c r="C122" t="s">
        <v>15</v>
      </c>
      <c r="D122" s="684">
        <v>5</v>
      </c>
      <c r="E122" s="684">
        <v>1</v>
      </c>
      <c r="F122" t="s">
        <v>16</v>
      </c>
      <c r="G122" s="684">
        <v>1</v>
      </c>
      <c r="H122" s="684">
        <v>78.739999999999995</v>
      </c>
      <c r="I122" t="s">
        <v>699</v>
      </c>
    </row>
    <row r="123" spans="1:9">
      <c r="A123" s="177">
        <v>45108</v>
      </c>
      <c r="B123" t="s">
        <v>544</v>
      </c>
      <c r="C123" t="s">
        <v>15</v>
      </c>
      <c r="D123" s="684">
        <v>5</v>
      </c>
      <c r="E123" s="684">
        <v>1</v>
      </c>
      <c r="F123" t="s">
        <v>17</v>
      </c>
      <c r="G123" s="684">
        <v>1.0789</v>
      </c>
      <c r="H123" s="684">
        <v>84.95</v>
      </c>
      <c r="I123" t="s">
        <v>699</v>
      </c>
    </row>
    <row r="124" spans="1:9">
      <c r="A124" s="177">
        <v>45108</v>
      </c>
      <c r="B124" t="s">
        <v>544</v>
      </c>
      <c r="C124" t="s">
        <v>15</v>
      </c>
      <c r="D124" s="684">
        <v>5</v>
      </c>
      <c r="E124" s="684">
        <v>1</v>
      </c>
      <c r="F124" t="s">
        <v>18</v>
      </c>
      <c r="G124" s="684">
        <v>1</v>
      </c>
      <c r="H124" s="684">
        <v>78.739999999999995</v>
      </c>
      <c r="I124" t="s">
        <v>699</v>
      </c>
    </row>
    <row r="125" spans="1:9">
      <c r="A125" s="177">
        <v>45108</v>
      </c>
      <c r="B125" t="s">
        <v>544</v>
      </c>
      <c r="C125" t="s">
        <v>15</v>
      </c>
      <c r="D125" s="684">
        <v>5</v>
      </c>
      <c r="E125" s="684">
        <v>1</v>
      </c>
      <c r="F125" t="s">
        <v>19</v>
      </c>
      <c r="G125" s="684">
        <v>1</v>
      </c>
      <c r="H125" s="684">
        <v>78.739999999999995</v>
      </c>
      <c r="I125" t="s">
        <v>699</v>
      </c>
    </row>
    <row r="126" spans="1:9">
      <c r="A126" s="177">
        <v>45108</v>
      </c>
      <c r="B126" t="s">
        <v>544</v>
      </c>
      <c r="C126" t="s">
        <v>15</v>
      </c>
      <c r="D126" s="684">
        <v>5</v>
      </c>
      <c r="E126" s="684">
        <v>1</v>
      </c>
      <c r="F126" t="s">
        <v>20</v>
      </c>
      <c r="G126" s="684">
        <v>1.0629</v>
      </c>
      <c r="H126" s="684">
        <v>83.69</v>
      </c>
      <c r="I126" t="s">
        <v>699</v>
      </c>
    </row>
    <row r="127" spans="1:9">
      <c r="A127" s="177">
        <v>45108</v>
      </c>
      <c r="B127" t="s">
        <v>544</v>
      </c>
      <c r="C127" t="s">
        <v>15</v>
      </c>
      <c r="D127" s="684">
        <v>5</v>
      </c>
      <c r="E127" s="684">
        <v>1</v>
      </c>
      <c r="F127" t="s">
        <v>21</v>
      </c>
      <c r="G127" s="684">
        <v>1</v>
      </c>
      <c r="H127" s="684">
        <v>78.739999999999995</v>
      </c>
      <c r="I127" t="s">
        <v>699</v>
      </c>
    </row>
    <row r="128" spans="1:9">
      <c r="A128" s="177">
        <v>45108</v>
      </c>
      <c r="B128" t="s">
        <v>545</v>
      </c>
      <c r="C128" t="s">
        <v>15</v>
      </c>
      <c r="D128" s="684">
        <v>5</v>
      </c>
      <c r="E128" s="684">
        <v>2</v>
      </c>
      <c r="F128" t="s">
        <v>16</v>
      </c>
      <c r="G128" s="684">
        <v>1</v>
      </c>
      <c r="H128" s="684">
        <v>81.73</v>
      </c>
      <c r="I128" t="s">
        <v>699</v>
      </c>
    </row>
    <row r="129" spans="1:9">
      <c r="A129" s="177">
        <v>45108</v>
      </c>
      <c r="B129" t="s">
        <v>545</v>
      </c>
      <c r="C129" t="s">
        <v>15</v>
      </c>
      <c r="D129" s="684">
        <v>5</v>
      </c>
      <c r="E129" s="684">
        <v>2</v>
      </c>
      <c r="F129" t="s">
        <v>17</v>
      </c>
      <c r="G129" s="684">
        <v>1.0789</v>
      </c>
      <c r="H129" s="684">
        <v>88.18</v>
      </c>
      <c r="I129" t="s">
        <v>699</v>
      </c>
    </row>
    <row r="130" spans="1:9">
      <c r="A130" s="177">
        <v>45108</v>
      </c>
      <c r="B130" t="s">
        <v>545</v>
      </c>
      <c r="C130" t="s">
        <v>15</v>
      </c>
      <c r="D130" s="684">
        <v>5</v>
      </c>
      <c r="E130" s="684">
        <v>2</v>
      </c>
      <c r="F130" t="s">
        <v>18</v>
      </c>
      <c r="G130" s="684">
        <v>1</v>
      </c>
      <c r="H130" s="684">
        <v>81.73</v>
      </c>
      <c r="I130" t="s">
        <v>699</v>
      </c>
    </row>
    <row r="131" spans="1:9">
      <c r="A131" s="177">
        <v>45108</v>
      </c>
      <c r="B131" t="s">
        <v>545</v>
      </c>
      <c r="C131" t="s">
        <v>15</v>
      </c>
      <c r="D131" s="684">
        <v>5</v>
      </c>
      <c r="E131" s="684">
        <v>2</v>
      </c>
      <c r="F131" t="s">
        <v>19</v>
      </c>
      <c r="G131" s="684">
        <v>1</v>
      </c>
      <c r="H131" s="684">
        <v>81.73</v>
      </c>
      <c r="I131" t="s">
        <v>699</v>
      </c>
    </row>
    <row r="132" spans="1:9">
      <c r="A132" s="177">
        <v>45108</v>
      </c>
      <c r="B132" t="s">
        <v>545</v>
      </c>
      <c r="C132" t="s">
        <v>15</v>
      </c>
      <c r="D132" s="684">
        <v>5</v>
      </c>
      <c r="E132" s="684">
        <v>2</v>
      </c>
      <c r="F132" t="s">
        <v>20</v>
      </c>
      <c r="G132" s="684">
        <v>1.0629</v>
      </c>
      <c r="H132" s="684">
        <v>86.87</v>
      </c>
      <c r="I132" t="s">
        <v>699</v>
      </c>
    </row>
    <row r="133" spans="1:9">
      <c r="A133" s="177">
        <v>45108</v>
      </c>
      <c r="B133" t="s">
        <v>545</v>
      </c>
      <c r="C133" t="s">
        <v>15</v>
      </c>
      <c r="D133" s="684">
        <v>5</v>
      </c>
      <c r="E133" s="684">
        <v>2</v>
      </c>
      <c r="F133" t="s">
        <v>21</v>
      </c>
      <c r="G133" s="684">
        <v>1</v>
      </c>
      <c r="H133" s="684">
        <v>81.73</v>
      </c>
      <c r="I133" t="s">
        <v>699</v>
      </c>
    </row>
    <row r="134" spans="1:9">
      <c r="A134" s="177">
        <v>45108</v>
      </c>
      <c r="B134" t="s">
        <v>546</v>
      </c>
      <c r="C134" t="s">
        <v>15</v>
      </c>
      <c r="D134" s="684">
        <v>5</v>
      </c>
      <c r="E134" s="684">
        <v>3</v>
      </c>
      <c r="F134" t="s">
        <v>16</v>
      </c>
      <c r="G134" s="684">
        <v>1</v>
      </c>
      <c r="H134" s="684">
        <v>86.58</v>
      </c>
      <c r="I134" t="s">
        <v>699</v>
      </c>
    </row>
    <row r="135" spans="1:9">
      <c r="A135" s="177">
        <v>45108</v>
      </c>
      <c r="B135" t="s">
        <v>546</v>
      </c>
      <c r="C135" t="s">
        <v>15</v>
      </c>
      <c r="D135" s="684">
        <v>5</v>
      </c>
      <c r="E135" s="684">
        <v>3</v>
      </c>
      <c r="F135" t="s">
        <v>17</v>
      </c>
      <c r="G135" s="684">
        <v>1.0789</v>
      </c>
      <c r="H135" s="684">
        <v>93.41</v>
      </c>
      <c r="I135" t="s">
        <v>699</v>
      </c>
    </row>
    <row r="136" spans="1:9">
      <c r="A136" s="177">
        <v>45108</v>
      </c>
      <c r="B136" t="s">
        <v>546</v>
      </c>
      <c r="C136" t="s">
        <v>15</v>
      </c>
      <c r="D136" s="684">
        <v>5</v>
      </c>
      <c r="E136" s="684">
        <v>3</v>
      </c>
      <c r="F136" t="s">
        <v>18</v>
      </c>
      <c r="G136" s="684">
        <v>1</v>
      </c>
      <c r="H136" s="684">
        <v>86.58</v>
      </c>
      <c r="I136" t="s">
        <v>699</v>
      </c>
    </row>
    <row r="137" spans="1:9">
      <c r="A137" s="177">
        <v>45108</v>
      </c>
      <c r="B137" t="s">
        <v>546</v>
      </c>
      <c r="C137" t="s">
        <v>15</v>
      </c>
      <c r="D137" s="684">
        <v>5</v>
      </c>
      <c r="E137" s="684">
        <v>3</v>
      </c>
      <c r="F137" t="s">
        <v>19</v>
      </c>
      <c r="G137" s="684">
        <v>1</v>
      </c>
      <c r="H137" s="684">
        <v>86.58</v>
      </c>
      <c r="I137" t="s">
        <v>699</v>
      </c>
    </row>
    <row r="138" spans="1:9">
      <c r="A138" s="177">
        <v>45108</v>
      </c>
      <c r="B138" t="s">
        <v>546</v>
      </c>
      <c r="C138" t="s">
        <v>15</v>
      </c>
      <c r="D138" s="684">
        <v>5</v>
      </c>
      <c r="E138" s="684">
        <v>3</v>
      </c>
      <c r="F138" t="s">
        <v>20</v>
      </c>
      <c r="G138" s="684">
        <v>1.0629</v>
      </c>
      <c r="H138" s="684">
        <v>92.03</v>
      </c>
      <c r="I138" t="s">
        <v>699</v>
      </c>
    </row>
    <row r="139" spans="1:9">
      <c r="A139" s="177">
        <v>45108</v>
      </c>
      <c r="B139" t="s">
        <v>546</v>
      </c>
      <c r="C139" t="s">
        <v>15</v>
      </c>
      <c r="D139" s="684">
        <v>5</v>
      </c>
      <c r="E139" s="684">
        <v>3</v>
      </c>
      <c r="F139" t="s">
        <v>21</v>
      </c>
      <c r="G139" s="684">
        <v>1</v>
      </c>
      <c r="H139" s="684">
        <v>86.58</v>
      </c>
      <c r="I139" t="s">
        <v>699</v>
      </c>
    </row>
    <row r="140" spans="1:9">
      <c r="A140" s="177">
        <v>45108</v>
      </c>
      <c r="B140" t="s">
        <v>547</v>
      </c>
      <c r="C140" t="s">
        <v>15</v>
      </c>
      <c r="D140" s="684">
        <v>5</v>
      </c>
      <c r="E140" s="684">
        <v>4</v>
      </c>
      <c r="F140" t="s">
        <v>16</v>
      </c>
      <c r="G140" s="684">
        <v>1</v>
      </c>
      <c r="H140" s="684">
        <v>93.13</v>
      </c>
      <c r="I140" t="s">
        <v>699</v>
      </c>
    </row>
    <row r="141" spans="1:9">
      <c r="A141" s="177">
        <v>45108</v>
      </c>
      <c r="B141" t="s">
        <v>547</v>
      </c>
      <c r="C141" t="s">
        <v>15</v>
      </c>
      <c r="D141" s="684">
        <v>5</v>
      </c>
      <c r="E141" s="684">
        <v>4</v>
      </c>
      <c r="F141" t="s">
        <v>17</v>
      </c>
      <c r="G141" s="684">
        <v>1.0789</v>
      </c>
      <c r="H141" s="684">
        <v>100.48</v>
      </c>
      <c r="I141" t="s">
        <v>699</v>
      </c>
    </row>
    <row r="142" spans="1:9">
      <c r="A142" s="177">
        <v>45108</v>
      </c>
      <c r="B142" t="s">
        <v>547</v>
      </c>
      <c r="C142" t="s">
        <v>15</v>
      </c>
      <c r="D142" s="684">
        <v>5</v>
      </c>
      <c r="E142" s="684">
        <v>4</v>
      </c>
      <c r="F142" t="s">
        <v>18</v>
      </c>
      <c r="G142" s="684">
        <v>1</v>
      </c>
      <c r="H142" s="684">
        <v>93.13</v>
      </c>
      <c r="I142" t="s">
        <v>699</v>
      </c>
    </row>
    <row r="143" spans="1:9">
      <c r="A143" s="177">
        <v>45108</v>
      </c>
      <c r="B143" t="s">
        <v>547</v>
      </c>
      <c r="C143" t="s">
        <v>15</v>
      </c>
      <c r="D143" s="684">
        <v>5</v>
      </c>
      <c r="E143" s="684">
        <v>4</v>
      </c>
      <c r="F143" t="s">
        <v>19</v>
      </c>
      <c r="G143" s="684">
        <v>1</v>
      </c>
      <c r="H143" s="684">
        <v>93.13</v>
      </c>
      <c r="I143" t="s">
        <v>699</v>
      </c>
    </row>
    <row r="144" spans="1:9">
      <c r="A144" s="177">
        <v>45108</v>
      </c>
      <c r="B144" t="s">
        <v>547</v>
      </c>
      <c r="C144" t="s">
        <v>15</v>
      </c>
      <c r="D144" s="684">
        <v>5</v>
      </c>
      <c r="E144" s="684">
        <v>4</v>
      </c>
      <c r="F144" t="s">
        <v>20</v>
      </c>
      <c r="G144" s="684">
        <v>1.0629</v>
      </c>
      <c r="H144" s="684">
        <v>98.99</v>
      </c>
      <c r="I144" t="s">
        <v>699</v>
      </c>
    </row>
    <row r="145" spans="1:9">
      <c r="A145" s="177">
        <v>45108</v>
      </c>
      <c r="B145" t="s">
        <v>547</v>
      </c>
      <c r="C145" t="s">
        <v>15</v>
      </c>
      <c r="D145" s="684">
        <v>5</v>
      </c>
      <c r="E145" s="684">
        <v>4</v>
      </c>
      <c r="F145" t="s">
        <v>21</v>
      </c>
      <c r="G145" s="684">
        <v>1</v>
      </c>
      <c r="H145" s="684">
        <v>93.13</v>
      </c>
      <c r="I145" t="s">
        <v>699</v>
      </c>
    </row>
    <row r="146" spans="1:9">
      <c r="A146" s="177">
        <v>45108</v>
      </c>
      <c r="B146" t="s">
        <v>548</v>
      </c>
      <c r="C146" t="s">
        <v>15</v>
      </c>
      <c r="D146" s="684">
        <v>5</v>
      </c>
      <c r="E146" s="684">
        <v>5</v>
      </c>
      <c r="F146" t="s">
        <v>16</v>
      </c>
      <c r="G146" s="684">
        <v>1</v>
      </c>
      <c r="H146" s="684">
        <v>98.89</v>
      </c>
      <c r="I146" t="s">
        <v>699</v>
      </c>
    </row>
    <row r="147" spans="1:9">
      <c r="A147" s="177">
        <v>45108</v>
      </c>
      <c r="B147" t="s">
        <v>548</v>
      </c>
      <c r="C147" t="s">
        <v>15</v>
      </c>
      <c r="D147" s="684">
        <v>5</v>
      </c>
      <c r="E147" s="684">
        <v>5</v>
      </c>
      <c r="F147" t="s">
        <v>17</v>
      </c>
      <c r="G147" s="684">
        <v>1.0789</v>
      </c>
      <c r="H147" s="684">
        <v>106.69</v>
      </c>
      <c r="I147" t="s">
        <v>699</v>
      </c>
    </row>
    <row r="148" spans="1:9">
      <c r="A148" s="177">
        <v>45108</v>
      </c>
      <c r="B148" t="s">
        <v>548</v>
      </c>
      <c r="C148" t="s">
        <v>15</v>
      </c>
      <c r="D148" s="684">
        <v>5</v>
      </c>
      <c r="E148" s="684">
        <v>5</v>
      </c>
      <c r="F148" t="s">
        <v>18</v>
      </c>
      <c r="G148" s="684">
        <v>1</v>
      </c>
      <c r="H148" s="684">
        <v>98.89</v>
      </c>
      <c r="I148" t="s">
        <v>699</v>
      </c>
    </row>
    <row r="149" spans="1:9">
      <c r="A149" s="177">
        <v>45108</v>
      </c>
      <c r="B149" t="s">
        <v>548</v>
      </c>
      <c r="C149" t="s">
        <v>15</v>
      </c>
      <c r="D149" s="684">
        <v>5</v>
      </c>
      <c r="E149" s="684">
        <v>5</v>
      </c>
      <c r="F149" t="s">
        <v>19</v>
      </c>
      <c r="G149" s="684">
        <v>1</v>
      </c>
      <c r="H149" s="684">
        <v>98.89</v>
      </c>
      <c r="I149" t="s">
        <v>699</v>
      </c>
    </row>
    <row r="150" spans="1:9">
      <c r="A150" s="177">
        <v>45108</v>
      </c>
      <c r="B150" t="s">
        <v>548</v>
      </c>
      <c r="C150" t="s">
        <v>15</v>
      </c>
      <c r="D150" s="684">
        <v>5</v>
      </c>
      <c r="E150" s="684">
        <v>5</v>
      </c>
      <c r="F150" t="s">
        <v>20</v>
      </c>
      <c r="G150" s="684">
        <v>1.0629</v>
      </c>
      <c r="H150" s="684">
        <v>105.11</v>
      </c>
      <c r="I150" t="s">
        <v>699</v>
      </c>
    </row>
    <row r="151" spans="1:9">
      <c r="A151" s="177">
        <v>45108</v>
      </c>
      <c r="B151" t="s">
        <v>548</v>
      </c>
      <c r="C151" t="s">
        <v>15</v>
      </c>
      <c r="D151" s="684">
        <v>5</v>
      </c>
      <c r="E151" s="684">
        <v>5</v>
      </c>
      <c r="F151" t="s">
        <v>21</v>
      </c>
      <c r="G151" s="684">
        <v>1</v>
      </c>
      <c r="H151" s="684">
        <v>98.89</v>
      </c>
      <c r="I151" t="s">
        <v>699</v>
      </c>
    </row>
    <row r="152" spans="1:9">
      <c r="A152" s="177">
        <v>45108</v>
      </c>
      <c r="B152" t="s">
        <v>549</v>
      </c>
      <c r="C152" t="s">
        <v>375</v>
      </c>
      <c r="D152" s="684">
        <v>1</v>
      </c>
      <c r="E152" s="684">
        <v>1</v>
      </c>
      <c r="F152" t="s">
        <v>16</v>
      </c>
      <c r="G152" s="684">
        <v>1</v>
      </c>
      <c r="H152" s="684">
        <v>28.2</v>
      </c>
      <c r="I152" t="s">
        <v>691</v>
      </c>
    </row>
    <row r="153" spans="1:9">
      <c r="A153" s="177">
        <v>45108</v>
      </c>
      <c r="B153" t="s">
        <v>549</v>
      </c>
      <c r="C153" t="s">
        <v>375</v>
      </c>
      <c r="D153" s="684">
        <v>1</v>
      </c>
      <c r="E153" s="684">
        <v>1</v>
      </c>
      <c r="F153" t="s">
        <v>17</v>
      </c>
      <c r="G153" s="684">
        <v>1.0789</v>
      </c>
      <c r="H153" s="684">
        <v>30.42</v>
      </c>
      <c r="I153" t="s">
        <v>691</v>
      </c>
    </row>
    <row r="154" spans="1:9">
      <c r="A154" s="177">
        <v>45108</v>
      </c>
      <c r="B154" t="s">
        <v>549</v>
      </c>
      <c r="C154" t="s">
        <v>375</v>
      </c>
      <c r="D154" s="684">
        <v>1</v>
      </c>
      <c r="E154" s="684">
        <v>1</v>
      </c>
      <c r="F154" t="s">
        <v>18</v>
      </c>
      <c r="G154" s="684">
        <v>1</v>
      </c>
      <c r="H154" s="684">
        <v>28.2</v>
      </c>
      <c r="I154" t="s">
        <v>691</v>
      </c>
    </row>
    <row r="155" spans="1:9">
      <c r="A155" s="177">
        <v>45108</v>
      </c>
      <c r="B155" t="s">
        <v>549</v>
      </c>
      <c r="C155" t="s">
        <v>375</v>
      </c>
      <c r="D155" s="684">
        <v>1</v>
      </c>
      <c r="E155" s="684">
        <v>1</v>
      </c>
      <c r="F155" t="s">
        <v>19</v>
      </c>
      <c r="G155" s="684">
        <v>1</v>
      </c>
      <c r="H155" s="684">
        <v>28.2</v>
      </c>
      <c r="I155" t="s">
        <v>691</v>
      </c>
    </row>
    <row r="156" spans="1:9">
      <c r="A156" s="177">
        <v>45108</v>
      </c>
      <c r="B156" t="s">
        <v>549</v>
      </c>
      <c r="C156" t="s">
        <v>375</v>
      </c>
      <c r="D156" s="684">
        <v>1</v>
      </c>
      <c r="E156" s="684">
        <v>1</v>
      </c>
      <c r="F156" t="s">
        <v>20</v>
      </c>
      <c r="G156" s="684">
        <v>1.0629</v>
      </c>
      <c r="H156" s="684">
        <v>29.97</v>
      </c>
      <c r="I156" t="s">
        <v>691</v>
      </c>
    </row>
    <row r="157" spans="1:9">
      <c r="A157" s="177">
        <v>45108</v>
      </c>
      <c r="B157" t="s">
        <v>549</v>
      </c>
      <c r="C157" t="s">
        <v>375</v>
      </c>
      <c r="D157" s="684">
        <v>1</v>
      </c>
      <c r="E157" s="684">
        <v>1</v>
      </c>
      <c r="F157" t="s">
        <v>21</v>
      </c>
      <c r="G157" s="684">
        <v>1</v>
      </c>
      <c r="H157" s="684">
        <v>28.2</v>
      </c>
      <c r="I157" t="s">
        <v>691</v>
      </c>
    </row>
    <row r="158" spans="1:9">
      <c r="A158" s="177">
        <v>45108</v>
      </c>
      <c r="B158" t="s">
        <v>550</v>
      </c>
      <c r="C158" t="s">
        <v>375</v>
      </c>
      <c r="D158" s="684">
        <v>1</v>
      </c>
      <c r="E158" s="684">
        <v>2</v>
      </c>
      <c r="F158" t="s">
        <v>16</v>
      </c>
      <c r="G158" s="684">
        <v>1</v>
      </c>
      <c r="H158" s="684">
        <v>30.84</v>
      </c>
      <c r="I158" t="s">
        <v>691</v>
      </c>
    </row>
    <row r="159" spans="1:9">
      <c r="A159" s="177">
        <v>45108</v>
      </c>
      <c r="B159" t="s">
        <v>550</v>
      </c>
      <c r="C159" t="s">
        <v>375</v>
      </c>
      <c r="D159" s="684">
        <v>1</v>
      </c>
      <c r="E159" s="684">
        <v>2</v>
      </c>
      <c r="F159" t="s">
        <v>17</v>
      </c>
      <c r="G159" s="684">
        <v>1.0789</v>
      </c>
      <c r="H159" s="684">
        <v>33.270000000000003</v>
      </c>
      <c r="I159" t="s">
        <v>691</v>
      </c>
    </row>
    <row r="160" spans="1:9">
      <c r="A160" s="177">
        <v>45108</v>
      </c>
      <c r="B160" t="s">
        <v>550</v>
      </c>
      <c r="C160" t="s">
        <v>375</v>
      </c>
      <c r="D160" s="684">
        <v>1</v>
      </c>
      <c r="E160" s="684">
        <v>2</v>
      </c>
      <c r="F160" t="s">
        <v>18</v>
      </c>
      <c r="G160" s="684">
        <v>1</v>
      </c>
      <c r="H160" s="684">
        <v>30.84</v>
      </c>
      <c r="I160" t="s">
        <v>691</v>
      </c>
    </row>
    <row r="161" spans="1:9">
      <c r="A161" s="177">
        <v>45108</v>
      </c>
      <c r="B161" t="s">
        <v>550</v>
      </c>
      <c r="C161" t="s">
        <v>375</v>
      </c>
      <c r="D161" s="684">
        <v>1</v>
      </c>
      <c r="E161" s="684">
        <v>2</v>
      </c>
      <c r="F161" t="s">
        <v>19</v>
      </c>
      <c r="G161" s="684">
        <v>1</v>
      </c>
      <c r="H161" s="684">
        <v>30.84</v>
      </c>
      <c r="I161" t="s">
        <v>691</v>
      </c>
    </row>
    <row r="162" spans="1:9">
      <c r="A162" s="177">
        <v>45108</v>
      </c>
      <c r="B162" t="s">
        <v>550</v>
      </c>
      <c r="C162" t="s">
        <v>375</v>
      </c>
      <c r="D162" s="684">
        <v>1</v>
      </c>
      <c r="E162" s="684">
        <v>2</v>
      </c>
      <c r="F162" t="s">
        <v>20</v>
      </c>
      <c r="G162" s="684">
        <v>1.0629</v>
      </c>
      <c r="H162" s="684">
        <v>32.78</v>
      </c>
      <c r="I162" t="s">
        <v>691</v>
      </c>
    </row>
    <row r="163" spans="1:9">
      <c r="A163" s="177">
        <v>45108</v>
      </c>
      <c r="B163" t="s">
        <v>550</v>
      </c>
      <c r="C163" t="s">
        <v>375</v>
      </c>
      <c r="D163" s="684">
        <v>1</v>
      </c>
      <c r="E163" s="684">
        <v>2</v>
      </c>
      <c r="F163" t="s">
        <v>21</v>
      </c>
      <c r="G163" s="684">
        <v>1</v>
      </c>
      <c r="H163" s="684">
        <v>30.84</v>
      </c>
      <c r="I163" t="s">
        <v>691</v>
      </c>
    </row>
    <row r="164" spans="1:9">
      <c r="A164" s="177">
        <v>45108</v>
      </c>
      <c r="B164" t="s">
        <v>551</v>
      </c>
      <c r="C164" t="s">
        <v>375</v>
      </c>
      <c r="D164" s="684">
        <v>1</v>
      </c>
      <c r="E164" s="684">
        <v>3</v>
      </c>
      <c r="F164" t="s">
        <v>16</v>
      </c>
      <c r="G164" s="684">
        <v>1</v>
      </c>
      <c r="H164" s="684">
        <v>35.11</v>
      </c>
      <c r="I164" t="s">
        <v>691</v>
      </c>
    </row>
    <row r="165" spans="1:9">
      <c r="A165" s="177">
        <v>45108</v>
      </c>
      <c r="B165" t="s">
        <v>551</v>
      </c>
      <c r="C165" t="s">
        <v>375</v>
      </c>
      <c r="D165" s="684">
        <v>1</v>
      </c>
      <c r="E165" s="684">
        <v>3</v>
      </c>
      <c r="F165" t="s">
        <v>17</v>
      </c>
      <c r="G165" s="684">
        <v>1.0789</v>
      </c>
      <c r="H165" s="684">
        <v>37.880000000000003</v>
      </c>
      <c r="I165" t="s">
        <v>691</v>
      </c>
    </row>
    <row r="166" spans="1:9">
      <c r="A166" s="177">
        <v>45108</v>
      </c>
      <c r="B166" t="s">
        <v>551</v>
      </c>
      <c r="C166" t="s">
        <v>375</v>
      </c>
      <c r="D166" s="684">
        <v>1</v>
      </c>
      <c r="E166" s="684">
        <v>3</v>
      </c>
      <c r="F166" t="s">
        <v>18</v>
      </c>
      <c r="G166" s="684">
        <v>1</v>
      </c>
      <c r="H166" s="684">
        <v>35.11</v>
      </c>
      <c r="I166" t="s">
        <v>691</v>
      </c>
    </row>
    <row r="167" spans="1:9">
      <c r="A167" s="177">
        <v>45108</v>
      </c>
      <c r="B167" t="s">
        <v>551</v>
      </c>
      <c r="C167" t="s">
        <v>375</v>
      </c>
      <c r="D167" s="684">
        <v>1</v>
      </c>
      <c r="E167" s="684">
        <v>3</v>
      </c>
      <c r="F167" t="s">
        <v>19</v>
      </c>
      <c r="G167" s="684">
        <v>1</v>
      </c>
      <c r="H167" s="684">
        <v>35.11</v>
      </c>
      <c r="I167" t="s">
        <v>691</v>
      </c>
    </row>
    <row r="168" spans="1:9">
      <c r="A168" s="177">
        <v>45108</v>
      </c>
      <c r="B168" t="s">
        <v>551</v>
      </c>
      <c r="C168" t="s">
        <v>375</v>
      </c>
      <c r="D168" s="684">
        <v>1</v>
      </c>
      <c r="E168" s="684">
        <v>3</v>
      </c>
      <c r="F168" t="s">
        <v>20</v>
      </c>
      <c r="G168" s="684">
        <v>1.0629</v>
      </c>
      <c r="H168" s="684">
        <v>37.32</v>
      </c>
      <c r="I168" t="s">
        <v>691</v>
      </c>
    </row>
    <row r="169" spans="1:9">
      <c r="A169" s="177">
        <v>45108</v>
      </c>
      <c r="B169" t="s">
        <v>551</v>
      </c>
      <c r="C169" t="s">
        <v>375</v>
      </c>
      <c r="D169" s="684">
        <v>1</v>
      </c>
      <c r="E169" s="684">
        <v>3</v>
      </c>
      <c r="F169" t="s">
        <v>21</v>
      </c>
      <c r="G169" s="684">
        <v>1</v>
      </c>
      <c r="H169" s="684">
        <v>35.11</v>
      </c>
      <c r="I169" t="s">
        <v>691</v>
      </c>
    </row>
    <row r="170" spans="1:9">
      <c r="A170" s="177">
        <v>45108</v>
      </c>
      <c r="B170" t="s">
        <v>552</v>
      </c>
      <c r="C170" t="s">
        <v>375</v>
      </c>
      <c r="D170" s="684">
        <v>1</v>
      </c>
      <c r="E170" s="684">
        <v>4</v>
      </c>
      <c r="F170" t="s">
        <v>16</v>
      </c>
      <c r="G170" s="684">
        <v>1</v>
      </c>
      <c r="H170" s="684">
        <v>40.869999999999997</v>
      </c>
      <c r="I170" t="s">
        <v>691</v>
      </c>
    </row>
    <row r="171" spans="1:9">
      <c r="A171" s="177">
        <v>45108</v>
      </c>
      <c r="B171" t="s">
        <v>552</v>
      </c>
      <c r="C171" t="s">
        <v>375</v>
      </c>
      <c r="D171" s="684">
        <v>1</v>
      </c>
      <c r="E171" s="684">
        <v>4</v>
      </c>
      <c r="F171" t="s">
        <v>17</v>
      </c>
      <c r="G171" s="684">
        <v>1.0789</v>
      </c>
      <c r="H171" s="684">
        <v>44.09</v>
      </c>
      <c r="I171" t="s">
        <v>691</v>
      </c>
    </row>
    <row r="172" spans="1:9">
      <c r="A172" s="177">
        <v>45108</v>
      </c>
      <c r="B172" t="s">
        <v>552</v>
      </c>
      <c r="C172" t="s">
        <v>375</v>
      </c>
      <c r="D172" s="684">
        <v>1</v>
      </c>
      <c r="E172" s="684">
        <v>4</v>
      </c>
      <c r="F172" t="s">
        <v>18</v>
      </c>
      <c r="G172" s="684">
        <v>1</v>
      </c>
      <c r="H172" s="684">
        <v>40.869999999999997</v>
      </c>
      <c r="I172" t="s">
        <v>691</v>
      </c>
    </row>
    <row r="173" spans="1:9">
      <c r="A173" s="177">
        <v>45108</v>
      </c>
      <c r="B173" t="s">
        <v>552</v>
      </c>
      <c r="C173" t="s">
        <v>375</v>
      </c>
      <c r="D173" s="684">
        <v>1</v>
      </c>
      <c r="E173" s="684">
        <v>4</v>
      </c>
      <c r="F173" t="s">
        <v>19</v>
      </c>
      <c r="G173" s="684">
        <v>1</v>
      </c>
      <c r="H173" s="684">
        <v>40.869999999999997</v>
      </c>
      <c r="I173" t="s">
        <v>691</v>
      </c>
    </row>
    <row r="174" spans="1:9">
      <c r="A174" s="177">
        <v>45108</v>
      </c>
      <c r="B174" t="s">
        <v>552</v>
      </c>
      <c r="C174" t="s">
        <v>375</v>
      </c>
      <c r="D174" s="684">
        <v>1</v>
      </c>
      <c r="E174" s="684">
        <v>4</v>
      </c>
      <c r="F174" t="s">
        <v>20</v>
      </c>
      <c r="G174" s="684">
        <v>1.0629</v>
      </c>
      <c r="H174" s="684">
        <v>43.44</v>
      </c>
      <c r="I174" t="s">
        <v>691</v>
      </c>
    </row>
    <row r="175" spans="1:9">
      <c r="A175" s="177">
        <v>45108</v>
      </c>
      <c r="B175" t="s">
        <v>552</v>
      </c>
      <c r="C175" t="s">
        <v>375</v>
      </c>
      <c r="D175" s="684">
        <v>1</v>
      </c>
      <c r="E175" s="684">
        <v>4</v>
      </c>
      <c r="F175" t="s">
        <v>21</v>
      </c>
      <c r="G175" s="684">
        <v>1</v>
      </c>
      <c r="H175" s="684">
        <v>40.869999999999997</v>
      </c>
      <c r="I175" t="s">
        <v>691</v>
      </c>
    </row>
    <row r="176" spans="1:9">
      <c r="A176" s="177">
        <v>45108</v>
      </c>
      <c r="B176" t="s">
        <v>553</v>
      </c>
      <c r="C176" t="s">
        <v>375</v>
      </c>
      <c r="D176" s="684">
        <v>1</v>
      </c>
      <c r="E176" s="684">
        <v>5</v>
      </c>
      <c r="F176" t="s">
        <v>16</v>
      </c>
      <c r="G176" s="684">
        <v>1</v>
      </c>
      <c r="H176" s="684">
        <v>45.91</v>
      </c>
      <c r="I176" t="s">
        <v>691</v>
      </c>
    </row>
    <row r="177" spans="1:9">
      <c r="A177" s="177">
        <v>45108</v>
      </c>
      <c r="B177" t="s">
        <v>553</v>
      </c>
      <c r="C177" t="s">
        <v>375</v>
      </c>
      <c r="D177" s="684">
        <v>1</v>
      </c>
      <c r="E177" s="684">
        <v>5</v>
      </c>
      <c r="F177" t="s">
        <v>17</v>
      </c>
      <c r="G177" s="684">
        <v>1.0789</v>
      </c>
      <c r="H177" s="684">
        <v>49.53</v>
      </c>
      <c r="I177" t="s">
        <v>691</v>
      </c>
    </row>
    <row r="178" spans="1:9">
      <c r="A178" s="177">
        <v>45108</v>
      </c>
      <c r="B178" t="s">
        <v>553</v>
      </c>
      <c r="C178" t="s">
        <v>375</v>
      </c>
      <c r="D178" s="684">
        <v>1</v>
      </c>
      <c r="E178" s="684">
        <v>5</v>
      </c>
      <c r="F178" t="s">
        <v>18</v>
      </c>
      <c r="G178" s="684">
        <v>1</v>
      </c>
      <c r="H178" s="684">
        <v>45.91</v>
      </c>
      <c r="I178" t="s">
        <v>691</v>
      </c>
    </row>
    <row r="179" spans="1:9">
      <c r="A179" s="177">
        <v>45108</v>
      </c>
      <c r="B179" t="s">
        <v>553</v>
      </c>
      <c r="C179" t="s">
        <v>375</v>
      </c>
      <c r="D179" s="684">
        <v>1</v>
      </c>
      <c r="E179" s="684">
        <v>5</v>
      </c>
      <c r="F179" t="s">
        <v>19</v>
      </c>
      <c r="G179" s="684">
        <v>1</v>
      </c>
      <c r="H179" s="684">
        <v>45.91</v>
      </c>
      <c r="I179" t="s">
        <v>691</v>
      </c>
    </row>
    <row r="180" spans="1:9">
      <c r="A180" s="177">
        <v>45108</v>
      </c>
      <c r="B180" t="s">
        <v>553</v>
      </c>
      <c r="C180" t="s">
        <v>375</v>
      </c>
      <c r="D180" s="684">
        <v>1</v>
      </c>
      <c r="E180" s="684">
        <v>5</v>
      </c>
      <c r="F180" t="s">
        <v>20</v>
      </c>
      <c r="G180" s="684">
        <v>1.0629</v>
      </c>
      <c r="H180" s="684">
        <v>48.8</v>
      </c>
      <c r="I180" t="s">
        <v>691</v>
      </c>
    </row>
    <row r="181" spans="1:9">
      <c r="A181" s="177">
        <v>45108</v>
      </c>
      <c r="B181" t="s">
        <v>553</v>
      </c>
      <c r="C181" t="s">
        <v>375</v>
      </c>
      <c r="D181" s="684">
        <v>1</v>
      </c>
      <c r="E181" s="684">
        <v>5</v>
      </c>
      <c r="F181" t="s">
        <v>21</v>
      </c>
      <c r="G181" s="684">
        <v>1</v>
      </c>
      <c r="H181" s="684">
        <v>45.91</v>
      </c>
      <c r="I181" t="s">
        <v>691</v>
      </c>
    </row>
    <row r="182" spans="1:9">
      <c r="A182" s="177">
        <v>45108</v>
      </c>
      <c r="B182" t="s">
        <v>554</v>
      </c>
      <c r="C182" t="s">
        <v>375</v>
      </c>
      <c r="D182" s="684">
        <v>2</v>
      </c>
      <c r="E182" s="684">
        <v>1</v>
      </c>
      <c r="F182" t="s">
        <v>16</v>
      </c>
      <c r="G182" s="684">
        <v>1</v>
      </c>
      <c r="H182" s="684">
        <v>50.48</v>
      </c>
      <c r="I182" t="s">
        <v>691</v>
      </c>
    </row>
    <row r="183" spans="1:9">
      <c r="A183" s="177">
        <v>45108</v>
      </c>
      <c r="B183" t="s">
        <v>554</v>
      </c>
      <c r="C183" t="s">
        <v>375</v>
      </c>
      <c r="D183" s="684">
        <v>2</v>
      </c>
      <c r="E183" s="684">
        <v>1</v>
      </c>
      <c r="F183" t="s">
        <v>17</v>
      </c>
      <c r="G183" s="684">
        <v>1.0789</v>
      </c>
      <c r="H183" s="684">
        <v>54.46</v>
      </c>
      <c r="I183" t="s">
        <v>691</v>
      </c>
    </row>
    <row r="184" spans="1:9">
      <c r="A184" s="177">
        <v>45108</v>
      </c>
      <c r="B184" t="s">
        <v>554</v>
      </c>
      <c r="C184" t="s">
        <v>375</v>
      </c>
      <c r="D184" s="684">
        <v>2</v>
      </c>
      <c r="E184" s="684">
        <v>1</v>
      </c>
      <c r="F184" t="s">
        <v>18</v>
      </c>
      <c r="G184" s="684">
        <v>1</v>
      </c>
      <c r="H184" s="684">
        <v>50.48</v>
      </c>
      <c r="I184" t="s">
        <v>691</v>
      </c>
    </row>
    <row r="185" spans="1:9">
      <c r="A185" s="177">
        <v>45108</v>
      </c>
      <c r="B185" t="s">
        <v>554</v>
      </c>
      <c r="C185" t="s">
        <v>375</v>
      </c>
      <c r="D185" s="684">
        <v>2</v>
      </c>
      <c r="E185" s="684">
        <v>1</v>
      </c>
      <c r="F185" t="s">
        <v>19</v>
      </c>
      <c r="G185" s="684">
        <v>1</v>
      </c>
      <c r="H185" s="684">
        <v>50.48</v>
      </c>
      <c r="I185" t="s">
        <v>691</v>
      </c>
    </row>
    <row r="186" spans="1:9">
      <c r="A186" s="177">
        <v>45108</v>
      </c>
      <c r="B186" t="s">
        <v>554</v>
      </c>
      <c r="C186" t="s">
        <v>375</v>
      </c>
      <c r="D186" s="684">
        <v>2</v>
      </c>
      <c r="E186" s="684">
        <v>1</v>
      </c>
      <c r="F186" t="s">
        <v>20</v>
      </c>
      <c r="G186" s="684">
        <v>1.0629</v>
      </c>
      <c r="H186" s="684">
        <v>53.66</v>
      </c>
      <c r="I186" t="s">
        <v>691</v>
      </c>
    </row>
    <row r="187" spans="1:9">
      <c r="A187" s="177">
        <v>45108</v>
      </c>
      <c r="B187" t="s">
        <v>554</v>
      </c>
      <c r="C187" t="s">
        <v>375</v>
      </c>
      <c r="D187" s="684">
        <v>2</v>
      </c>
      <c r="E187" s="684">
        <v>1</v>
      </c>
      <c r="F187" t="s">
        <v>21</v>
      </c>
      <c r="G187" s="684">
        <v>1</v>
      </c>
      <c r="H187" s="684">
        <v>50.48</v>
      </c>
      <c r="I187" t="s">
        <v>691</v>
      </c>
    </row>
    <row r="188" spans="1:9">
      <c r="A188" s="177">
        <v>45108</v>
      </c>
      <c r="B188" t="s">
        <v>555</v>
      </c>
      <c r="C188" t="s">
        <v>375</v>
      </c>
      <c r="D188" s="684">
        <v>2</v>
      </c>
      <c r="E188" s="684">
        <v>2</v>
      </c>
      <c r="F188" t="s">
        <v>16</v>
      </c>
      <c r="G188" s="684">
        <v>1</v>
      </c>
      <c r="H188" s="684">
        <v>53.12</v>
      </c>
      <c r="I188" t="s">
        <v>691</v>
      </c>
    </row>
    <row r="189" spans="1:9">
      <c r="A189" s="177">
        <v>45108</v>
      </c>
      <c r="B189" t="s">
        <v>555</v>
      </c>
      <c r="C189" t="s">
        <v>375</v>
      </c>
      <c r="D189" s="684">
        <v>2</v>
      </c>
      <c r="E189" s="684">
        <v>2</v>
      </c>
      <c r="F189" t="s">
        <v>17</v>
      </c>
      <c r="G189" s="684">
        <v>1.0789</v>
      </c>
      <c r="H189" s="684">
        <v>57.31</v>
      </c>
      <c r="I189" t="s">
        <v>691</v>
      </c>
    </row>
    <row r="190" spans="1:9">
      <c r="A190" s="177">
        <v>45108</v>
      </c>
      <c r="B190" t="s">
        <v>555</v>
      </c>
      <c r="C190" t="s">
        <v>375</v>
      </c>
      <c r="D190" s="684">
        <v>2</v>
      </c>
      <c r="E190" s="684">
        <v>2</v>
      </c>
      <c r="F190" t="s">
        <v>18</v>
      </c>
      <c r="G190" s="684">
        <v>1</v>
      </c>
      <c r="H190" s="684">
        <v>53.12</v>
      </c>
      <c r="I190" t="s">
        <v>691</v>
      </c>
    </row>
    <row r="191" spans="1:9">
      <c r="A191" s="177">
        <v>45108</v>
      </c>
      <c r="B191" t="s">
        <v>555</v>
      </c>
      <c r="C191" t="s">
        <v>375</v>
      </c>
      <c r="D191" s="684">
        <v>2</v>
      </c>
      <c r="E191" s="684">
        <v>2</v>
      </c>
      <c r="F191" t="s">
        <v>19</v>
      </c>
      <c r="G191" s="684">
        <v>1</v>
      </c>
      <c r="H191" s="684">
        <v>53.12</v>
      </c>
      <c r="I191" t="s">
        <v>691</v>
      </c>
    </row>
    <row r="192" spans="1:9">
      <c r="A192" s="177">
        <v>45108</v>
      </c>
      <c r="B192" t="s">
        <v>555</v>
      </c>
      <c r="C192" t="s">
        <v>375</v>
      </c>
      <c r="D192" s="684">
        <v>2</v>
      </c>
      <c r="E192" s="684">
        <v>2</v>
      </c>
      <c r="F192" t="s">
        <v>20</v>
      </c>
      <c r="G192" s="684">
        <v>1.0629</v>
      </c>
      <c r="H192" s="684">
        <v>56.46</v>
      </c>
      <c r="I192" t="s">
        <v>691</v>
      </c>
    </row>
    <row r="193" spans="1:9">
      <c r="A193" s="177">
        <v>45108</v>
      </c>
      <c r="B193" t="s">
        <v>555</v>
      </c>
      <c r="C193" t="s">
        <v>375</v>
      </c>
      <c r="D193" s="684">
        <v>2</v>
      </c>
      <c r="E193" s="684">
        <v>2</v>
      </c>
      <c r="F193" t="s">
        <v>21</v>
      </c>
      <c r="G193" s="684">
        <v>1</v>
      </c>
      <c r="H193" s="684">
        <v>53.12</v>
      </c>
      <c r="I193" t="s">
        <v>691</v>
      </c>
    </row>
    <row r="194" spans="1:9">
      <c r="A194" s="177">
        <v>45108</v>
      </c>
      <c r="B194" t="s">
        <v>556</v>
      </c>
      <c r="C194" t="s">
        <v>375</v>
      </c>
      <c r="D194" s="684">
        <v>2</v>
      </c>
      <c r="E194" s="684">
        <v>3</v>
      </c>
      <c r="F194" t="s">
        <v>16</v>
      </c>
      <c r="G194" s="684">
        <v>1</v>
      </c>
      <c r="H194" s="684">
        <v>57.38</v>
      </c>
      <c r="I194" t="s">
        <v>691</v>
      </c>
    </row>
    <row r="195" spans="1:9">
      <c r="A195" s="177">
        <v>45108</v>
      </c>
      <c r="B195" t="s">
        <v>556</v>
      </c>
      <c r="C195" t="s">
        <v>375</v>
      </c>
      <c r="D195" s="684">
        <v>2</v>
      </c>
      <c r="E195" s="684">
        <v>3</v>
      </c>
      <c r="F195" t="s">
        <v>17</v>
      </c>
      <c r="G195" s="684">
        <v>1.0789</v>
      </c>
      <c r="H195" s="684">
        <v>61.91</v>
      </c>
      <c r="I195" t="s">
        <v>691</v>
      </c>
    </row>
    <row r="196" spans="1:9">
      <c r="A196" s="177">
        <v>45108</v>
      </c>
      <c r="B196" t="s">
        <v>556</v>
      </c>
      <c r="C196" t="s">
        <v>375</v>
      </c>
      <c r="D196" s="684">
        <v>2</v>
      </c>
      <c r="E196" s="684">
        <v>3</v>
      </c>
      <c r="F196" t="s">
        <v>18</v>
      </c>
      <c r="G196" s="684">
        <v>1</v>
      </c>
      <c r="H196" s="684">
        <v>57.38</v>
      </c>
      <c r="I196" t="s">
        <v>691</v>
      </c>
    </row>
    <row r="197" spans="1:9">
      <c r="A197" s="177">
        <v>45108</v>
      </c>
      <c r="B197" t="s">
        <v>556</v>
      </c>
      <c r="C197" t="s">
        <v>375</v>
      </c>
      <c r="D197" s="684">
        <v>2</v>
      </c>
      <c r="E197" s="684">
        <v>3</v>
      </c>
      <c r="F197" t="s">
        <v>19</v>
      </c>
      <c r="G197" s="684">
        <v>1</v>
      </c>
      <c r="H197" s="684">
        <v>57.38</v>
      </c>
      <c r="I197" t="s">
        <v>691</v>
      </c>
    </row>
    <row r="198" spans="1:9">
      <c r="A198" s="177">
        <v>45108</v>
      </c>
      <c r="B198" t="s">
        <v>556</v>
      </c>
      <c r="C198" t="s">
        <v>375</v>
      </c>
      <c r="D198" s="684">
        <v>2</v>
      </c>
      <c r="E198" s="684">
        <v>3</v>
      </c>
      <c r="F198" t="s">
        <v>20</v>
      </c>
      <c r="G198" s="684">
        <v>1.0629</v>
      </c>
      <c r="H198" s="684">
        <v>60.99</v>
      </c>
      <c r="I198" t="s">
        <v>691</v>
      </c>
    </row>
    <row r="199" spans="1:9">
      <c r="A199" s="177">
        <v>45108</v>
      </c>
      <c r="B199" t="s">
        <v>556</v>
      </c>
      <c r="C199" t="s">
        <v>375</v>
      </c>
      <c r="D199" s="684">
        <v>2</v>
      </c>
      <c r="E199" s="684">
        <v>3</v>
      </c>
      <c r="F199" t="s">
        <v>21</v>
      </c>
      <c r="G199" s="684">
        <v>1</v>
      </c>
      <c r="H199" s="684">
        <v>57.38</v>
      </c>
      <c r="I199" t="s">
        <v>691</v>
      </c>
    </row>
    <row r="200" spans="1:9">
      <c r="A200" s="177">
        <v>45108</v>
      </c>
      <c r="B200" t="s">
        <v>557</v>
      </c>
      <c r="C200" t="s">
        <v>375</v>
      </c>
      <c r="D200" s="684">
        <v>2</v>
      </c>
      <c r="E200" s="684">
        <v>4</v>
      </c>
      <c r="F200" t="s">
        <v>16</v>
      </c>
      <c r="G200" s="684">
        <v>1</v>
      </c>
      <c r="H200" s="684">
        <v>63.15</v>
      </c>
      <c r="I200" t="s">
        <v>691</v>
      </c>
    </row>
    <row r="201" spans="1:9">
      <c r="A201" s="177">
        <v>45108</v>
      </c>
      <c r="B201" t="s">
        <v>557</v>
      </c>
      <c r="C201" t="s">
        <v>375</v>
      </c>
      <c r="D201" s="684">
        <v>2</v>
      </c>
      <c r="E201" s="684">
        <v>4</v>
      </c>
      <c r="F201" t="s">
        <v>17</v>
      </c>
      <c r="G201" s="684">
        <v>1.0789</v>
      </c>
      <c r="H201" s="684">
        <v>68.13</v>
      </c>
      <c r="I201" t="s">
        <v>691</v>
      </c>
    </row>
    <row r="202" spans="1:9">
      <c r="A202" s="177">
        <v>45108</v>
      </c>
      <c r="B202" t="s">
        <v>557</v>
      </c>
      <c r="C202" t="s">
        <v>375</v>
      </c>
      <c r="D202" s="684">
        <v>2</v>
      </c>
      <c r="E202" s="684">
        <v>4</v>
      </c>
      <c r="F202" t="s">
        <v>18</v>
      </c>
      <c r="G202" s="684">
        <v>1</v>
      </c>
      <c r="H202" s="684">
        <v>63.15</v>
      </c>
      <c r="I202" t="s">
        <v>691</v>
      </c>
    </row>
    <row r="203" spans="1:9">
      <c r="A203" s="177">
        <v>45108</v>
      </c>
      <c r="B203" t="s">
        <v>557</v>
      </c>
      <c r="C203" t="s">
        <v>375</v>
      </c>
      <c r="D203" s="684">
        <v>2</v>
      </c>
      <c r="E203" s="684">
        <v>4</v>
      </c>
      <c r="F203" t="s">
        <v>19</v>
      </c>
      <c r="G203" s="684">
        <v>1</v>
      </c>
      <c r="H203" s="684">
        <v>63.15</v>
      </c>
      <c r="I203" t="s">
        <v>691</v>
      </c>
    </row>
    <row r="204" spans="1:9">
      <c r="A204" s="177">
        <v>45108</v>
      </c>
      <c r="B204" t="s">
        <v>557</v>
      </c>
      <c r="C204" t="s">
        <v>375</v>
      </c>
      <c r="D204" s="684">
        <v>2</v>
      </c>
      <c r="E204" s="684">
        <v>4</v>
      </c>
      <c r="F204" t="s">
        <v>20</v>
      </c>
      <c r="G204" s="684">
        <v>1.0629</v>
      </c>
      <c r="H204" s="684">
        <v>67.12</v>
      </c>
      <c r="I204" t="s">
        <v>691</v>
      </c>
    </row>
    <row r="205" spans="1:9">
      <c r="A205" s="177">
        <v>45108</v>
      </c>
      <c r="B205" t="s">
        <v>557</v>
      </c>
      <c r="C205" t="s">
        <v>375</v>
      </c>
      <c r="D205" s="684">
        <v>2</v>
      </c>
      <c r="E205" s="684">
        <v>4</v>
      </c>
      <c r="F205" t="s">
        <v>21</v>
      </c>
      <c r="G205" s="684">
        <v>1</v>
      </c>
      <c r="H205" s="684">
        <v>63.15</v>
      </c>
      <c r="I205" t="s">
        <v>691</v>
      </c>
    </row>
    <row r="206" spans="1:9">
      <c r="A206" s="177">
        <v>45108</v>
      </c>
      <c r="B206" t="s">
        <v>558</v>
      </c>
      <c r="C206" t="s">
        <v>375</v>
      </c>
      <c r="D206" s="684">
        <v>2</v>
      </c>
      <c r="E206" s="684">
        <v>5</v>
      </c>
      <c r="F206" t="s">
        <v>16</v>
      </c>
      <c r="G206" s="684">
        <v>1</v>
      </c>
      <c r="H206" s="684">
        <v>68.2</v>
      </c>
      <c r="I206" t="s">
        <v>691</v>
      </c>
    </row>
    <row r="207" spans="1:9">
      <c r="A207" s="177">
        <v>45108</v>
      </c>
      <c r="B207" t="s">
        <v>558</v>
      </c>
      <c r="C207" t="s">
        <v>375</v>
      </c>
      <c r="D207" s="684">
        <v>2</v>
      </c>
      <c r="E207" s="684">
        <v>5</v>
      </c>
      <c r="F207" t="s">
        <v>17</v>
      </c>
      <c r="G207" s="684">
        <v>1.0789</v>
      </c>
      <c r="H207" s="684">
        <v>73.58</v>
      </c>
      <c r="I207" t="s">
        <v>691</v>
      </c>
    </row>
    <row r="208" spans="1:9">
      <c r="A208" s="177">
        <v>45108</v>
      </c>
      <c r="B208" t="s">
        <v>558</v>
      </c>
      <c r="C208" t="s">
        <v>375</v>
      </c>
      <c r="D208" s="684">
        <v>2</v>
      </c>
      <c r="E208" s="684">
        <v>5</v>
      </c>
      <c r="F208" t="s">
        <v>18</v>
      </c>
      <c r="G208" s="684">
        <v>1</v>
      </c>
      <c r="H208" s="684">
        <v>68.2</v>
      </c>
      <c r="I208" t="s">
        <v>691</v>
      </c>
    </row>
    <row r="209" spans="1:9">
      <c r="A209" s="177">
        <v>45108</v>
      </c>
      <c r="B209" t="s">
        <v>558</v>
      </c>
      <c r="C209" t="s">
        <v>375</v>
      </c>
      <c r="D209" s="684">
        <v>2</v>
      </c>
      <c r="E209" s="684">
        <v>5</v>
      </c>
      <c r="F209" t="s">
        <v>19</v>
      </c>
      <c r="G209" s="684">
        <v>1</v>
      </c>
      <c r="H209" s="684">
        <v>68.2</v>
      </c>
      <c r="I209" t="s">
        <v>691</v>
      </c>
    </row>
    <row r="210" spans="1:9">
      <c r="A210" s="177">
        <v>45108</v>
      </c>
      <c r="B210" t="s">
        <v>558</v>
      </c>
      <c r="C210" t="s">
        <v>375</v>
      </c>
      <c r="D210" s="684">
        <v>2</v>
      </c>
      <c r="E210" s="684">
        <v>5</v>
      </c>
      <c r="F210" t="s">
        <v>20</v>
      </c>
      <c r="G210" s="684">
        <v>1.0629</v>
      </c>
      <c r="H210" s="684">
        <v>72.489999999999995</v>
      </c>
      <c r="I210" t="s">
        <v>691</v>
      </c>
    </row>
    <row r="211" spans="1:9">
      <c r="A211" s="177">
        <v>45108</v>
      </c>
      <c r="B211" t="s">
        <v>558</v>
      </c>
      <c r="C211" t="s">
        <v>375</v>
      </c>
      <c r="D211" s="684">
        <v>2</v>
      </c>
      <c r="E211" s="684">
        <v>5</v>
      </c>
      <c r="F211" t="s">
        <v>21</v>
      </c>
      <c r="G211" s="684">
        <v>1</v>
      </c>
      <c r="H211" s="684">
        <v>68.2</v>
      </c>
      <c r="I211" t="s">
        <v>691</v>
      </c>
    </row>
    <row r="212" spans="1:9">
      <c r="A212" s="177">
        <v>45108</v>
      </c>
      <c r="B212" t="s">
        <v>559</v>
      </c>
      <c r="C212" t="s">
        <v>375</v>
      </c>
      <c r="D212" s="684">
        <v>3</v>
      </c>
      <c r="E212" s="684">
        <v>1</v>
      </c>
      <c r="F212" t="s">
        <v>16</v>
      </c>
      <c r="G212" s="684">
        <v>1</v>
      </c>
      <c r="H212" s="684">
        <v>86.05</v>
      </c>
      <c r="I212" t="s">
        <v>691</v>
      </c>
    </row>
    <row r="213" spans="1:9">
      <c r="A213" s="177">
        <v>45108</v>
      </c>
      <c r="B213" t="s">
        <v>559</v>
      </c>
      <c r="C213" t="s">
        <v>375</v>
      </c>
      <c r="D213" s="684">
        <v>3</v>
      </c>
      <c r="E213" s="684">
        <v>1</v>
      </c>
      <c r="F213" t="s">
        <v>17</v>
      </c>
      <c r="G213" s="684">
        <v>1.0789</v>
      </c>
      <c r="H213" s="684">
        <v>92.84</v>
      </c>
      <c r="I213" t="s">
        <v>691</v>
      </c>
    </row>
    <row r="214" spans="1:9">
      <c r="A214" s="177">
        <v>45108</v>
      </c>
      <c r="B214" t="s">
        <v>559</v>
      </c>
      <c r="C214" t="s">
        <v>375</v>
      </c>
      <c r="D214" s="684">
        <v>3</v>
      </c>
      <c r="E214" s="684">
        <v>1</v>
      </c>
      <c r="F214" t="s">
        <v>18</v>
      </c>
      <c r="G214" s="684">
        <v>1</v>
      </c>
      <c r="H214" s="684">
        <v>86.05</v>
      </c>
      <c r="I214" t="s">
        <v>691</v>
      </c>
    </row>
    <row r="215" spans="1:9">
      <c r="A215" s="177">
        <v>45108</v>
      </c>
      <c r="B215" t="s">
        <v>559</v>
      </c>
      <c r="C215" t="s">
        <v>375</v>
      </c>
      <c r="D215" s="684">
        <v>3</v>
      </c>
      <c r="E215" s="684">
        <v>1</v>
      </c>
      <c r="F215" t="s">
        <v>19</v>
      </c>
      <c r="G215" s="684">
        <v>1</v>
      </c>
      <c r="H215" s="684">
        <v>86.05</v>
      </c>
      <c r="I215" t="s">
        <v>691</v>
      </c>
    </row>
    <row r="216" spans="1:9">
      <c r="A216" s="177">
        <v>45108</v>
      </c>
      <c r="B216" t="s">
        <v>559</v>
      </c>
      <c r="C216" t="s">
        <v>375</v>
      </c>
      <c r="D216" s="684">
        <v>3</v>
      </c>
      <c r="E216" s="684">
        <v>1</v>
      </c>
      <c r="F216" t="s">
        <v>20</v>
      </c>
      <c r="G216" s="684">
        <v>1.0629</v>
      </c>
      <c r="H216" s="684">
        <v>91.46</v>
      </c>
      <c r="I216" t="s">
        <v>691</v>
      </c>
    </row>
    <row r="217" spans="1:9">
      <c r="A217" s="177">
        <v>45108</v>
      </c>
      <c r="B217" t="s">
        <v>559</v>
      </c>
      <c r="C217" t="s">
        <v>375</v>
      </c>
      <c r="D217" s="684">
        <v>3</v>
      </c>
      <c r="E217" s="684">
        <v>1</v>
      </c>
      <c r="F217" t="s">
        <v>21</v>
      </c>
      <c r="G217" s="684">
        <v>1</v>
      </c>
      <c r="H217" s="684">
        <v>86.05</v>
      </c>
      <c r="I217" t="s">
        <v>691</v>
      </c>
    </row>
    <row r="218" spans="1:9">
      <c r="A218" s="177">
        <v>45108</v>
      </c>
      <c r="B218" t="s">
        <v>560</v>
      </c>
      <c r="C218" t="s">
        <v>375</v>
      </c>
      <c r="D218" s="684">
        <v>3</v>
      </c>
      <c r="E218" s="684">
        <v>2</v>
      </c>
      <c r="F218" t="s">
        <v>16</v>
      </c>
      <c r="G218" s="684">
        <v>1</v>
      </c>
      <c r="H218" s="684">
        <v>88.72</v>
      </c>
      <c r="I218" t="s">
        <v>691</v>
      </c>
    </row>
    <row r="219" spans="1:9">
      <c r="A219" s="177">
        <v>45108</v>
      </c>
      <c r="B219" t="s">
        <v>560</v>
      </c>
      <c r="C219" t="s">
        <v>375</v>
      </c>
      <c r="D219" s="684">
        <v>3</v>
      </c>
      <c r="E219" s="684">
        <v>2</v>
      </c>
      <c r="F219" t="s">
        <v>17</v>
      </c>
      <c r="G219" s="684">
        <v>1.0789</v>
      </c>
      <c r="H219" s="684">
        <v>95.72</v>
      </c>
      <c r="I219" t="s">
        <v>691</v>
      </c>
    </row>
    <row r="220" spans="1:9">
      <c r="A220" s="177">
        <v>45108</v>
      </c>
      <c r="B220" t="s">
        <v>560</v>
      </c>
      <c r="C220" t="s">
        <v>375</v>
      </c>
      <c r="D220" s="684">
        <v>3</v>
      </c>
      <c r="E220" s="684">
        <v>2</v>
      </c>
      <c r="F220" t="s">
        <v>18</v>
      </c>
      <c r="G220" s="684">
        <v>1</v>
      </c>
      <c r="H220" s="684">
        <v>88.72</v>
      </c>
      <c r="I220" t="s">
        <v>691</v>
      </c>
    </row>
    <row r="221" spans="1:9">
      <c r="A221" s="177">
        <v>45108</v>
      </c>
      <c r="B221" t="s">
        <v>560</v>
      </c>
      <c r="C221" t="s">
        <v>375</v>
      </c>
      <c r="D221" s="684">
        <v>3</v>
      </c>
      <c r="E221" s="684">
        <v>2</v>
      </c>
      <c r="F221" t="s">
        <v>19</v>
      </c>
      <c r="G221" s="684">
        <v>1</v>
      </c>
      <c r="H221" s="684">
        <v>88.72</v>
      </c>
      <c r="I221" t="s">
        <v>691</v>
      </c>
    </row>
    <row r="222" spans="1:9">
      <c r="A222" s="177">
        <v>45108</v>
      </c>
      <c r="B222" t="s">
        <v>560</v>
      </c>
      <c r="C222" t="s">
        <v>375</v>
      </c>
      <c r="D222" s="684">
        <v>3</v>
      </c>
      <c r="E222" s="684">
        <v>2</v>
      </c>
      <c r="F222" t="s">
        <v>20</v>
      </c>
      <c r="G222" s="684">
        <v>1.0629</v>
      </c>
      <c r="H222" s="684">
        <v>94.3</v>
      </c>
      <c r="I222" t="s">
        <v>691</v>
      </c>
    </row>
    <row r="223" spans="1:9">
      <c r="A223" s="177">
        <v>45108</v>
      </c>
      <c r="B223" t="s">
        <v>560</v>
      </c>
      <c r="C223" t="s">
        <v>375</v>
      </c>
      <c r="D223" s="684">
        <v>3</v>
      </c>
      <c r="E223" s="684">
        <v>2</v>
      </c>
      <c r="F223" t="s">
        <v>21</v>
      </c>
      <c r="G223" s="684">
        <v>1</v>
      </c>
      <c r="H223" s="684">
        <v>88.72</v>
      </c>
      <c r="I223" t="s">
        <v>691</v>
      </c>
    </row>
    <row r="224" spans="1:9">
      <c r="A224" s="177">
        <v>45108</v>
      </c>
      <c r="B224" t="s">
        <v>561</v>
      </c>
      <c r="C224" t="s">
        <v>375</v>
      </c>
      <c r="D224" s="684">
        <v>3</v>
      </c>
      <c r="E224" s="684">
        <v>3</v>
      </c>
      <c r="F224" t="s">
        <v>16</v>
      </c>
      <c r="G224" s="684">
        <v>1</v>
      </c>
      <c r="H224" s="684">
        <v>92.93</v>
      </c>
      <c r="I224" t="s">
        <v>691</v>
      </c>
    </row>
    <row r="225" spans="1:9">
      <c r="A225" s="177">
        <v>45108</v>
      </c>
      <c r="B225" t="s">
        <v>561</v>
      </c>
      <c r="C225" t="s">
        <v>375</v>
      </c>
      <c r="D225" s="684">
        <v>3</v>
      </c>
      <c r="E225" s="684">
        <v>3</v>
      </c>
      <c r="F225" t="s">
        <v>17</v>
      </c>
      <c r="G225" s="684">
        <v>1.0789</v>
      </c>
      <c r="H225" s="684">
        <v>100.26</v>
      </c>
      <c r="I225" t="s">
        <v>691</v>
      </c>
    </row>
    <row r="226" spans="1:9">
      <c r="A226" s="177">
        <v>45108</v>
      </c>
      <c r="B226" t="s">
        <v>561</v>
      </c>
      <c r="C226" t="s">
        <v>375</v>
      </c>
      <c r="D226" s="684">
        <v>3</v>
      </c>
      <c r="E226" s="684">
        <v>3</v>
      </c>
      <c r="F226" t="s">
        <v>18</v>
      </c>
      <c r="G226" s="684">
        <v>1</v>
      </c>
      <c r="H226" s="684">
        <v>92.93</v>
      </c>
      <c r="I226" t="s">
        <v>691</v>
      </c>
    </row>
    <row r="227" spans="1:9">
      <c r="A227" s="177">
        <v>45108</v>
      </c>
      <c r="B227" t="s">
        <v>561</v>
      </c>
      <c r="C227" t="s">
        <v>375</v>
      </c>
      <c r="D227" s="684">
        <v>3</v>
      </c>
      <c r="E227" s="684">
        <v>3</v>
      </c>
      <c r="F227" t="s">
        <v>19</v>
      </c>
      <c r="G227" s="684">
        <v>1</v>
      </c>
      <c r="H227" s="684">
        <v>92.93</v>
      </c>
      <c r="I227" t="s">
        <v>691</v>
      </c>
    </row>
    <row r="228" spans="1:9">
      <c r="A228" s="177">
        <v>45108</v>
      </c>
      <c r="B228" t="s">
        <v>561</v>
      </c>
      <c r="C228" t="s">
        <v>375</v>
      </c>
      <c r="D228" s="684">
        <v>3</v>
      </c>
      <c r="E228" s="684">
        <v>3</v>
      </c>
      <c r="F228" t="s">
        <v>20</v>
      </c>
      <c r="G228" s="684">
        <v>1.0629</v>
      </c>
      <c r="H228" s="684">
        <v>98.78</v>
      </c>
      <c r="I228" t="s">
        <v>691</v>
      </c>
    </row>
    <row r="229" spans="1:9">
      <c r="A229" s="177">
        <v>45108</v>
      </c>
      <c r="B229" t="s">
        <v>561</v>
      </c>
      <c r="C229" t="s">
        <v>375</v>
      </c>
      <c r="D229" s="684">
        <v>3</v>
      </c>
      <c r="E229" s="684">
        <v>3</v>
      </c>
      <c r="F229" t="s">
        <v>21</v>
      </c>
      <c r="G229" s="684">
        <v>1</v>
      </c>
      <c r="H229" s="684">
        <v>92.93</v>
      </c>
      <c r="I229" t="s">
        <v>691</v>
      </c>
    </row>
    <row r="230" spans="1:9">
      <c r="A230" s="177">
        <v>45108</v>
      </c>
      <c r="B230" t="s">
        <v>562</v>
      </c>
      <c r="C230" t="s">
        <v>375</v>
      </c>
      <c r="D230" s="684">
        <v>3</v>
      </c>
      <c r="E230" s="684">
        <v>4</v>
      </c>
      <c r="F230" t="s">
        <v>16</v>
      </c>
      <c r="G230" s="684">
        <v>1</v>
      </c>
      <c r="H230" s="684">
        <v>98.69</v>
      </c>
      <c r="I230" t="s">
        <v>691</v>
      </c>
    </row>
    <row r="231" spans="1:9">
      <c r="A231" s="177">
        <v>45108</v>
      </c>
      <c r="B231" t="s">
        <v>562</v>
      </c>
      <c r="C231" t="s">
        <v>375</v>
      </c>
      <c r="D231" s="684">
        <v>3</v>
      </c>
      <c r="E231" s="684">
        <v>4</v>
      </c>
      <c r="F231" t="s">
        <v>17</v>
      </c>
      <c r="G231" s="684">
        <v>1.0789</v>
      </c>
      <c r="H231" s="684">
        <v>106.48</v>
      </c>
      <c r="I231" t="s">
        <v>691</v>
      </c>
    </row>
    <row r="232" spans="1:9">
      <c r="A232" s="177">
        <v>45108</v>
      </c>
      <c r="B232" t="s">
        <v>562</v>
      </c>
      <c r="C232" t="s">
        <v>375</v>
      </c>
      <c r="D232" s="684">
        <v>3</v>
      </c>
      <c r="E232" s="684">
        <v>4</v>
      </c>
      <c r="F232" t="s">
        <v>18</v>
      </c>
      <c r="G232" s="684">
        <v>1</v>
      </c>
      <c r="H232" s="684">
        <v>98.69</v>
      </c>
      <c r="I232" t="s">
        <v>691</v>
      </c>
    </row>
    <row r="233" spans="1:9">
      <c r="A233" s="177">
        <v>45108</v>
      </c>
      <c r="B233" t="s">
        <v>562</v>
      </c>
      <c r="C233" t="s">
        <v>375</v>
      </c>
      <c r="D233" s="684">
        <v>3</v>
      </c>
      <c r="E233" s="684">
        <v>4</v>
      </c>
      <c r="F233" t="s">
        <v>19</v>
      </c>
      <c r="G233" s="684">
        <v>1</v>
      </c>
      <c r="H233" s="684">
        <v>98.69</v>
      </c>
      <c r="I233" t="s">
        <v>691</v>
      </c>
    </row>
    <row r="234" spans="1:9">
      <c r="A234" s="177">
        <v>45108</v>
      </c>
      <c r="B234" t="s">
        <v>562</v>
      </c>
      <c r="C234" t="s">
        <v>375</v>
      </c>
      <c r="D234" s="684">
        <v>3</v>
      </c>
      <c r="E234" s="684">
        <v>4</v>
      </c>
      <c r="F234" t="s">
        <v>20</v>
      </c>
      <c r="G234" s="684">
        <v>1.0629</v>
      </c>
      <c r="H234" s="684">
        <v>104.9</v>
      </c>
      <c r="I234" t="s">
        <v>691</v>
      </c>
    </row>
    <row r="235" spans="1:9">
      <c r="A235" s="177">
        <v>45108</v>
      </c>
      <c r="B235" t="s">
        <v>562</v>
      </c>
      <c r="C235" t="s">
        <v>375</v>
      </c>
      <c r="D235" s="684">
        <v>3</v>
      </c>
      <c r="E235" s="684">
        <v>4</v>
      </c>
      <c r="F235" t="s">
        <v>21</v>
      </c>
      <c r="G235" s="684">
        <v>1</v>
      </c>
      <c r="H235" s="684">
        <v>98.69</v>
      </c>
      <c r="I235" t="s">
        <v>691</v>
      </c>
    </row>
    <row r="236" spans="1:9">
      <c r="A236" s="177">
        <v>45108</v>
      </c>
      <c r="B236" t="s">
        <v>563</v>
      </c>
      <c r="C236" t="s">
        <v>375</v>
      </c>
      <c r="D236" s="684">
        <v>3</v>
      </c>
      <c r="E236" s="684">
        <v>5</v>
      </c>
      <c r="F236" t="s">
        <v>16</v>
      </c>
      <c r="G236" s="684">
        <v>1</v>
      </c>
      <c r="H236" s="684">
        <v>103.79</v>
      </c>
      <c r="I236" t="s">
        <v>691</v>
      </c>
    </row>
    <row r="237" spans="1:9">
      <c r="A237" s="177">
        <v>45108</v>
      </c>
      <c r="B237" t="s">
        <v>563</v>
      </c>
      <c r="C237" t="s">
        <v>375</v>
      </c>
      <c r="D237" s="684">
        <v>3</v>
      </c>
      <c r="E237" s="684">
        <v>5</v>
      </c>
      <c r="F237" t="s">
        <v>17</v>
      </c>
      <c r="G237" s="684">
        <v>1.0789</v>
      </c>
      <c r="H237" s="684">
        <v>111.98</v>
      </c>
      <c r="I237" t="s">
        <v>691</v>
      </c>
    </row>
    <row r="238" spans="1:9">
      <c r="A238" s="177">
        <v>45108</v>
      </c>
      <c r="B238" t="s">
        <v>563</v>
      </c>
      <c r="C238" t="s">
        <v>375</v>
      </c>
      <c r="D238" s="684">
        <v>3</v>
      </c>
      <c r="E238" s="684">
        <v>5</v>
      </c>
      <c r="F238" t="s">
        <v>18</v>
      </c>
      <c r="G238" s="684">
        <v>1</v>
      </c>
      <c r="H238" s="684">
        <v>103.79</v>
      </c>
      <c r="I238" t="s">
        <v>691</v>
      </c>
    </row>
    <row r="239" spans="1:9">
      <c r="A239" s="177">
        <v>45108</v>
      </c>
      <c r="B239" t="s">
        <v>563</v>
      </c>
      <c r="C239" t="s">
        <v>375</v>
      </c>
      <c r="D239" s="684">
        <v>3</v>
      </c>
      <c r="E239" s="684">
        <v>5</v>
      </c>
      <c r="F239" t="s">
        <v>19</v>
      </c>
      <c r="G239" s="684">
        <v>1</v>
      </c>
      <c r="H239" s="684">
        <v>103.79</v>
      </c>
      <c r="I239" t="s">
        <v>691</v>
      </c>
    </row>
    <row r="240" spans="1:9">
      <c r="A240" s="177">
        <v>45108</v>
      </c>
      <c r="B240" t="s">
        <v>563</v>
      </c>
      <c r="C240" t="s">
        <v>375</v>
      </c>
      <c r="D240" s="684">
        <v>3</v>
      </c>
      <c r="E240" s="684">
        <v>5</v>
      </c>
      <c r="F240" t="s">
        <v>20</v>
      </c>
      <c r="G240" s="684">
        <v>1.0629</v>
      </c>
      <c r="H240" s="684">
        <v>110.32</v>
      </c>
      <c r="I240" t="s">
        <v>691</v>
      </c>
    </row>
    <row r="241" spans="1:9">
      <c r="A241" s="177">
        <v>45108</v>
      </c>
      <c r="B241" t="s">
        <v>563</v>
      </c>
      <c r="C241" t="s">
        <v>375</v>
      </c>
      <c r="D241" s="684">
        <v>3</v>
      </c>
      <c r="E241" s="684">
        <v>5</v>
      </c>
      <c r="F241" t="s">
        <v>21</v>
      </c>
      <c r="G241" s="684">
        <v>1</v>
      </c>
      <c r="H241" s="684">
        <v>103.79</v>
      </c>
      <c r="I241" t="s">
        <v>691</v>
      </c>
    </row>
    <row r="242" spans="1:9">
      <c r="A242" s="177">
        <v>45108</v>
      </c>
      <c r="B242" t="s">
        <v>564</v>
      </c>
      <c r="C242" t="s">
        <v>375</v>
      </c>
      <c r="D242" s="684">
        <v>4</v>
      </c>
      <c r="E242" s="684">
        <v>1</v>
      </c>
      <c r="F242" t="s">
        <v>16</v>
      </c>
      <c r="G242" s="684">
        <v>1</v>
      </c>
      <c r="H242" s="684">
        <v>139.38999999999999</v>
      </c>
      <c r="I242" t="s">
        <v>691</v>
      </c>
    </row>
    <row r="243" spans="1:9">
      <c r="A243" s="177">
        <v>45108</v>
      </c>
      <c r="B243" t="s">
        <v>564</v>
      </c>
      <c r="C243" t="s">
        <v>375</v>
      </c>
      <c r="D243" s="684">
        <v>4</v>
      </c>
      <c r="E243" s="684">
        <v>1</v>
      </c>
      <c r="F243" t="s">
        <v>17</v>
      </c>
      <c r="G243" s="684">
        <v>1.0789</v>
      </c>
      <c r="H243" s="684">
        <v>150.38999999999999</v>
      </c>
      <c r="I243" t="s">
        <v>691</v>
      </c>
    </row>
    <row r="244" spans="1:9">
      <c r="A244" s="177">
        <v>45108</v>
      </c>
      <c r="B244" t="s">
        <v>564</v>
      </c>
      <c r="C244" t="s">
        <v>375</v>
      </c>
      <c r="D244" s="684">
        <v>4</v>
      </c>
      <c r="E244" s="684">
        <v>1</v>
      </c>
      <c r="F244" t="s">
        <v>18</v>
      </c>
      <c r="G244" s="684">
        <v>1</v>
      </c>
      <c r="H244" s="684">
        <v>139.38999999999999</v>
      </c>
      <c r="I244" t="s">
        <v>691</v>
      </c>
    </row>
    <row r="245" spans="1:9">
      <c r="A245" s="177">
        <v>45108</v>
      </c>
      <c r="B245" t="s">
        <v>564</v>
      </c>
      <c r="C245" t="s">
        <v>375</v>
      </c>
      <c r="D245" s="684">
        <v>4</v>
      </c>
      <c r="E245" s="684">
        <v>1</v>
      </c>
      <c r="F245" t="s">
        <v>19</v>
      </c>
      <c r="G245" s="684">
        <v>1</v>
      </c>
      <c r="H245" s="684">
        <v>139.38999999999999</v>
      </c>
      <c r="I245" t="s">
        <v>691</v>
      </c>
    </row>
    <row r="246" spans="1:9">
      <c r="A246" s="177">
        <v>45108</v>
      </c>
      <c r="B246" t="s">
        <v>564</v>
      </c>
      <c r="C246" t="s">
        <v>375</v>
      </c>
      <c r="D246" s="684">
        <v>4</v>
      </c>
      <c r="E246" s="684">
        <v>1</v>
      </c>
      <c r="F246" t="s">
        <v>20</v>
      </c>
      <c r="G246" s="684">
        <v>1.0629</v>
      </c>
      <c r="H246" s="684">
        <v>148.16</v>
      </c>
      <c r="I246" t="s">
        <v>691</v>
      </c>
    </row>
    <row r="247" spans="1:9">
      <c r="A247" s="177">
        <v>45108</v>
      </c>
      <c r="B247" t="s">
        <v>564</v>
      </c>
      <c r="C247" t="s">
        <v>375</v>
      </c>
      <c r="D247" s="684">
        <v>4</v>
      </c>
      <c r="E247" s="684">
        <v>1</v>
      </c>
      <c r="F247" t="s">
        <v>21</v>
      </c>
      <c r="G247" s="684">
        <v>1</v>
      </c>
      <c r="H247" s="684">
        <v>139.38999999999999</v>
      </c>
      <c r="I247" t="s">
        <v>691</v>
      </c>
    </row>
    <row r="248" spans="1:9">
      <c r="A248" s="177">
        <v>45108</v>
      </c>
      <c r="B248" t="s">
        <v>565</v>
      </c>
      <c r="C248" t="s">
        <v>375</v>
      </c>
      <c r="D248" s="684">
        <v>4</v>
      </c>
      <c r="E248" s="684">
        <v>2</v>
      </c>
      <c r="F248" t="s">
        <v>16</v>
      </c>
      <c r="G248" s="684">
        <v>1</v>
      </c>
      <c r="H248" s="684">
        <v>142.04</v>
      </c>
      <c r="I248" t="s">
        <v>691</v>
      </c>
    </row>
    <row r="249" spans="1:9">
      <c r="A249" s="177">
        <v>45108</v>
      </c>
      <c r="B249" t="s">
        <v>565</v>
      </c>
      <c r="C249" t="s">
        <v>375</v>
      </c>
      <c r="D249" s="684">
        <v>4</v>
      </c>
      <c r="E249" s="684">
        <v>2</v>
      </c>
      <c r="F249" t="s">
        <v>17</v>
      </c>
      <c r="G249" s="684">
        <v>1.0789</v>
      </c>
      <c r="H249" s="684">
        <v>153.25</v>
      </c>
      <c r="I249" t="s">
        <v>691</v>
      </c>
    </row>
    <row r="250" spans="1:9">
      <c r="A250" s="177">
        <v>45108</v>
      </c>
      <c r="B250" t="s">
        <v>565</v>
      </c>
      <c r="C250" t="s">
        <v>375</v>
      </c>
      <c r="D250" s="684">
        <v>4</v>
      </c>
      <c r="E250" s="684">
        <v>2</v>
      </c>
      <c r="F250" t="s">
        <v>18</v>
      </c>
      <c r="G250" s="684">
        <v>1</v>
      </c>
      <c r="H250" s="684">
        <v>142.04</v>
      </c>
      <c r="I250" t="s">
        <v>691</v>
      </c>
    </row>
    <row r="251" spans="1:9">
      <c r="A251" s="177">
        <v>45108</v>
      </c>
      <c r="B251" t="s">
        <v>565</v>
      </c>
      <c r="C251" t="s">
        <v>375</v>
      </c>
      <c r="D251" s="684">
        <v>4</v>
      </c>
      <c r="E251" s="684">
        <v>2</v>
      </c>
      <c r="F251" t="s">
        <v>19</v>
      </c>
      <c r="G251" s="684">
        <v>1</v>
      </c>
      <c r="H251" s="684">
        <v>142.04</v>
      </c>
      <c r="I251" t="s">
        <v>691</v>
      </c>
    </row>
    <row r="252" spans="1:9">
      <c r="A252" s="177">
        <v>45108</v>
      </c>
      <c r="B252" t="s">
        <v>565</v>
      </c>
      <c r="C252" t="s">
        <v>375</v>
      </c>
      <c r="D252" s="684">
        <v>4</v>
      </c>
      <c r="E252" s="684">
        <v>2</v>
      </c>
      <c r="F252" t="s">
        <v>20</v>
      </c>
      <c r="G252" s="684">
        <v>1.0629</v>
      </c>
      <c r="H252" s="684">
        <v>150.97</v>
      </c>
      <c r="I252" t="s">
        <v>691</v>
      </c>
    </row>
    <row r="253" spans="1:9">
      <c r="A253" s="177">
        <v>45108</v>
      </c>
      <c r="B253" t="s">
        <v>565</v>
      </c>
      <c r="C253" t="s">
        <v>375</v>
      </c>
      <c r="D253" s="684">
        <v>4</v>
      </c>
      <c r="E253" s="684">
        <v>2</v>
      </c>
      <c r="F253" t="s">
        <v>21</v>
      </c>
      <c r="G253" s="684">
        <v>1</v>
      </c>
      <c r="H253" s="684">
        <v>142.04</v>
      </c>
      <c r="I253" t="s">
        <v>691</v>
      </c>
    </row>
    <row r="254" spans="1:9">
      <c r="A254" s="177">
        <v>45108</v>
      </c>
      <c r="B254" t="s">
        <v>566</v>
      </c>
      <c r="C254" t="s">
        <v>375</v>
      </c>
      <c r="D254" s="684">
        <v>4</v>
      </c>
      <c r="E254" s="684">
        <v>3</v>
      </c>
      <c r="F254" t="s">
        <v>16</v>
      </c>
      <c r="G254" s="684">
        <v>1</v>
      </c>
      <c r="H254" s="684">
        <v>146.31</v>
      </c>
      <c r="I254" t="s">
        <v>691</v>
      </c>
    </row>
    <row r="255" spans="1:9">
      <c r="A255" s="177">
        <v>45108</v>
      </c>
      <c r="B255" t="s">
        <v>566</v>
      </c>
      <c r="C255" t="s">
        <v>375</v>
      </c>
      <c r="D255" s="684">
        <v>4</v>
      </c>
      <c r="E255" s="684">
        <v>3</v>
      </c>
      <c r="F255" t="s">
        <v>17</v>
      </c>
      <c r="G255" s="684">
        <v>1.0789</v>
      </c>
      <c r="H255" s="684">
        <v>157.85</v>
      </c>
      <c r="I255" t="s">
        <v>691</v>
      </c>
    </row>
    <row r="256" spans="1:9">
      <c r="A256" s="177">
        <v>45108</v>
      </c>
      <c r="B256" t="s">
        <v>566</v>
      </c>
      <c r="C256" t="s">
        <v>375</v>
      </c>
      <c r="D256" s="684">
        <v>4</v>
      </c>
      <c r="E256" s="684">
        <v>3</v>
      </c>
      <c r="F256" t="s">
        <v>18</v>
      </c>
      <c r="G256" s="684">
        <v>1</v>
      </c>
      <c r="H256" s="684">
        <v>146.31</v>
      </c>
      <c r="I256" t="s">
        <v>691</v>
      </c>
    </row>
    <row r="257" spans="1:9">
      <c r="A257" s="177">
        <v>45108</v>
      </c>
      <c r="B257" t="s">
        <v>566</v>
      </c>
      <c r="C257" t="s">
        <v>375</v>
      </c>
      <c r="D257" s="684">
        <v>4</v>
      </c>
      <c r="E257" s="684">
        <v>3</v>
      </c>
      <c r="F257" t="s">
        <v>19</v>
      </c>
      <c r="G257" s="684">
        <v>1</v>
      </c>
      <c r="H257" s="684">
        <v>146.31</v>
      </c>
      <c r="I257" t="s">
        <v>691</v>
      </c>
    </row>
    <row r="258" spans="1:9">
      <c r="A258" s="177">
        <v>45108</v>
      </c>
      <c r="B258" t="s">
        <v>566</v>
      </c>
      <c r="C258" t="s">
        <v>375</v>
      </c>
      <c r="D258" s="684">
        <v>4</v>
      </c>
      <c r="E258" s="684">
        <v>3</v>
      </c>
      <c r="F258" t="s">
        <v>20</v>
      </c>
      <c r="G258" s="684">
        <v>1.0629</v>
      </c>
      <c r="H258" s="684">
        <v>155.51</v>
      </c>
      <c r="I258" t="s">
        <v>691</v>
      </c>
    </row>
    <row r="259" spans="1:9">
      <c r="A259" s="177">
        <v>45108</v>
      </c>
      <c r="B259" t="s">
        <v>566</v>
      </c>
      <c r="C259" t="s">
        <v>375</v>
      </c>
      <c r="D259" s="684">
        <v>4</v>
      </c>
      <c r="E259" s="684">
        <v>3</v>
      </c>
      <c r="F259" t="s">
        <v>21</v>
      </c>
      <c r="G259" s="684">
        <v>1</v>
      </c>
      <c r="H259" s="684">
        <v>146.31</v>
      </c>
      <c r="I259" t="s">
        <v>691</v>
      </c>
    </row>
    <row r="260" spans="1:9">
      <c r="A260" s="177">
        <v>45108</v>
      </c>
      <c r="B260" t="s">
        <v>567</v>
      </c>
      <c r="C260" t="s">
        <v>375</v>
      </c>
      <c r="D260" s="684">
        <v>4</v>
      </c>
      <c r="E260" s="684">
        <v>4</v>
      </c>
      <c r="F260" t="s">
        <v>16</v>
      </c>
      <c r="G260" s="684">
        <v>1</v>
      </c>
      <c r="H260" s="684">
        <v>152.07</v>
      </c>
      <c r="I260" t="s">
        <v>691</v>
      </c>
    </row>
    <row r="261" spans="1:9">
      <c r="A261" s="177">
        <v>45108</v>
      </c>
      <c r="B261" t="s">
        <v>567</v>
      </c>
      <c r="C261" t="s">
        <v>375</v>
      </c>
      <c r="D261" s="684">
        <v>4</v>
      </c>
      <c r="E261" s="684">
        <v>4</v>
      </c>
      <c r="F261" t="s">
        <v>17</v>
      </c>
      <c r="G261" s="684">
        <v>1.0789</v>
      </c>
      <c r="H261" s="684">
        <v>164.07</v>
      </c>
      <c r="I261" t="s">
        <v>691</v>
      </c>
    </row>
    <row r="262" spans="1:9">
      <c r="A262" s="177">
        <v>45108</v>
      </c>
      <c r="B262" t="s">
        <v>567</v>
      </c>
      <c r="C262" t="s">
        <v>375</v>
      </c>
      <c r="D262" s="684">
        <v>4</v>
      </c>
      <c r="E262" s="684">
        <v>4</v>
      </c>
      <c r="F262" t="s">
        <v>18</v>
      </c>
      <c r="G262" s="684">
        <v>1</v>
      </c>
      <c r="H262" s="684">
        <v>152.07</v>
      </c>
      <c r="I262" t="s">
        <v>691</v>
      </c>
    </row>
    <row r="263" spans="1:9">
      <c r="A263" s="177">
        <v>45108</v>
      </c>
      <c r="B263" t="s">
        <v>567</v>
      </c>
      <c r="C263" t="s">
        <v>375</v>
      </c>
      <c r="D263" s="684">
        <v>4</v>
      </c>
      <c r="E263" s="684">
        <v>4</v>
      </c>
      <c r="F263" t="s">
        <v>19</v>
      </c>
      <c r="G263" s="684">
        <v>1</v>
      </c>
      <c r="H263" s="684">
        <v>152.07</v>
      </c>
      <c r="I263" t="s">
        <v>691</v>
      </c>
    </row>
    <row r="264" spans="1:9">
      <c r="A264" s="177">
        <v>45108</v>
      </c>
      <c r="B264" t="s">
        <v>567</v>
      </c>
      <c r="C264" t="s">
        <v>375</v>
      </c>
      <c r="D264" s="684">
        <v>4</v>
      </c>
      <c r="E264" s="684">
        <v>4</v>
      </c>
      <c r="F264" t="s">
        <v>20</v>
      </c>
      <c r="G264" s="684">
        <v>1.0629</v>
      </c>
      <c r="H264" s="684">
        <v>161.63999999999999</v>
      </c>
      <c r="I264" t="s">
        <v>691</v>
      </c>
    </row>
    <row r="265" spans="1:9">
      <c r="A265" s="177">
        <v>45108</v>
      </c>
      <c r="B265" t="s">
        <v>567</v>
      </c>
      <c r="C265" t="s">
        <v>375</v>
      </c>
      <c r="D265" s="684">
        <v>4</v>
      </c>
      <c r="E265" s="684">
        <v>4</v>
      </c>
      <c r="F265" t="s">
        <v>21</v>
      </c>
      <c r="G265" s="684">
        <v>1</v>
      </c>
      <c r="H265" s="684">
        <v>152.07</v>
      </c>
      <c r="I265" t="s">
        <v>691</v>
      </c>
    </row>
    <row r="266" spans="1:9">
      <c r="A266" s="177">
        <v>45108</v>
      </c>
      <c r="B266" t="s">
        <v>568</v>
      </c>
      <c r="C266" t="s">
        <v>375</v>
      </c>
      <c r="D266" s="684">
        <v>4</v>
      </c>
      <c r="E266" s="684">
        <v>5</v>
      </c>
      <c r="F266" t="s">
        <v>16</v>
      </c>
      <c r="G266" s="684">
        <v>1</v>
      </c>
      <c r="H266" s="684">
        <v>157.12</v>
      </c>
      <c r="I266" t="s">
        <v>691</v>
      </c>
    </row>
    <row r="267" spans="1:9">
      <c r="A267" s="177">
        <v>45108</v>
      </c>
      <c r="B267" t="s">
        <v>568</v>
      </c>
      <c r="C267" t="s">
        <v>375</v>
      </c>
      <c r="D267" s="684">
        <v>4</v>
      </c>
      <c r="E267" s="684">
        <v>5</v>
      </c>
      <c r="F267" t="s">
        <v>17</v>
      </c>
      <c r="G267" s="684">
        <v>1.0789</v>
      </c>
      <c r="H267" s="684">
        <v>169.52</v>
      </c>
      <c r="I267" t="s">
        <v>691</v>
      </c>
    </row>
    <row r="268" spans="1:9">
      <c r="A268" s="177">
        <v>45108</v>
      </c>
      <c r="B268" t="s">
        <v>568</v>
      </c>
      <c r="C268" t="s">
        <v>375</v>
      </c>
      <c r="D268" s="684">
        <v>4</v>
      </c>
      <c r="E268" s="684">
        <v>5</v>
      </c>
      <c r="F268" t="s">
        <v>18</v>
      </c>
      <c r="G268" s="684">
        <v>1</v>
      </c>
      <c r="H268" s="684">
        <v>157.12</v>
      </c>
      <c r="I268" t="s">
        <v>691</v>
      </c>
    </row>
    <row r="269" spans="1:9">
      <c r="A269" s="177">
        <v>45108</v>
      </c>
      <c r="B269" t="s">
        <v>568</v>
      </c>
      <c r="C269" t="s">
        <v>375</v>
      </c>
      <c r="D269" s="684">
        <v>4</v>
      </c>
      <c r="E269" s="684">
        <v>5</v>
      </c>
      <c r="F269" t="s">
        <v>19</v>
      </c>
      <c r="G269" s="684">
        <v>1</v>
      </c>
      <c r="H269" s="684">
        <v>157.12</v>
      </c>
      <c r="I269" t="s">
        <v>691</v>
      </c>
    </row>
    <row r="270" spans="1:9">
      <c r="A270" s="177">
        <v>45108</v>
      </c>
      <c r="B270" t="s">
        <v>568</v>
      </c>
      <c r="C270" t="s">
        <v>375</v>
      </c>
      <c r="D270" s="684">
        <v>4</v>
      </c>
      <c r="E270" s="684">
        <v>5</v>
      </c>
      <c r="F270" t="s">
        <v>20</v>
      </c>
      <c r="G270" s="684">
        <v>1.0629</v>
      </c>
      <c r="H270" s="684">
        <v>167</v>
      </c>
      <c r="I270" t="s">
        <v>691</v>
      </c>
    </row>
    <row r="271" spans="1:9">
      <c r="A271" s="177">
        <v>45108</v>
      </c>
      <c r="B271" t="s">
        <v>568</v>
      </c>
      <c r="C271" t="s">
        <v>375</v>
      </c>
      <c r="D271" s="684">
        <v>4</v>
      </c>
      <c r="E271" s="684">
        <v>5</v>
      </c>
      <c r="F271" t="s">
        <v>21</v>
      </c>
      <c r="G271" s="684">
        <v>1</v>
      </c>
      <c r="H271" s="684">
        <v>157.12</v>
      </c>
      <c r="I271" t="s">
        <v>691</v>
      </c>
    </row>
    <row r="272" spans="1:9">
      <c r="A272" s="177">
        <v>45108</v>
      </c>
      <c r="B272" t="s">
        <v>569</v>
      </c>
      <c r="C272" t="s">
        <v>375</v>
      </c>
      <c r="D272" s="684">
        <v>5</v>
      </c>
      <c r="E272" s="684">
        <v>1</v>
      </c>
      <c r="F272" t="s">
        <v>16</v>
      </c>
      <c r="G272" s="684">
        <v>1</v>
      </c>
      <c r="H272" s="684">
        <v>199.89</v>
      </c>
      <c r="I272" t="s">
        <v>691</v>
      </c>
    </row>
    <row r="273" spans="1:9">
      <c r="A273" s="177">
        <v>45108</v>
      </c>
      <c r="B273" t="s">
        <v>569</v>
      </c>
      <c r="C273" t="s">
        <v>375</v>
      </c>
      <c r="D273" s="684">
        <v>5</v>
      </c>
      <c r="E273" s="684">
        <v>1</v>
      </c>
      <c r="F273" t="s">
        <v>17</v>
      </c>
      <c r="G273" s="684">
        <v>1.0789</v>
      </c>
      <c r="H273" s="684">
        <v>215.66</v>
      </c>
      <c r="I273" t="s">
        <v>691</v>
      </c>
    </row>
    <row r="274" spans="1:9">
      <c r="A274" s="177">
        <v>45108</v>
      </c>
      <c r="B274" t="s">
        <v>569</v>
      </c>
      <c r="C274" t="s">
        <v>375</v>
      </c>
      <c r="D274" s="684">
        <v>5</v>
      </c>
      <c r="E274" s="684">
        <v>1</v>
      </c>
      <c r="F274" t="s">
        <v>18</v>
      </c>
      <c r="G274" s="684">
        <v>1</v>
      </c>
      <c r="H274" s="684">
        <v>199.89</v>
      </c>
      <c r="I274" t="s">
        <v>691</v>
      </c>
    </row>
    <row r="275" spans="1:9">
      <c r="A275" s="177">
        <v>45108</v>
      </c>
      <c r="B275" t="s">
        <v>569</v>
      </c>
      <c r="C275" t="s">
        <v>375</v>
      </c>
      <c r="D275" s="684">
        <v>5</v>
      </c>
      <c r="E275" s="684">
        <v>1</v>
      </c>
      <c r="F275" t="s">
        <v>19</v>
      </c>
      <c r="G275" s="684">
        <v>1</v>
      </c>
      <c r="H275" s="684">
        <v>199.89</v>
      </c>
      <c r="I275" t="s">
        <v>691</v>
      </c>
    </row>
    <row r="276" spans="1:9">
      <c r="A276" s="177">
        <v>45108</v>
      </c>
      <c r="B276" t="s">
        <v>569</v>
      </c>
      <c r="C276" t="s">
        <v>375</v>
      </c>
      <c r="D276" s="684">
        <v>5</v>
      </c>
      <c r="E276" s="684">
        <v>1</v>
      </c>
      <c r="F276" t="s">
        <v>20</v>
      </c>
      <c r="G276" s="684">
        <v>1.0629</v>
      </c>
      <c r="H276" s="684">
        <v>212.46</v>
      </c>
      <c r="I276" t="s">
        <v>691</v>
      </c>
    </row>
    <row r="277" spans="1:9">
      <c r="A277" s="177">
        <v>45108</v>
      </c>
      <c r="B277" t="s">
        <v>569</v>
      </c>
      <c r="C277" t="s">
        <v>375</v>
      </c>
      <c r="D277" s="684">
        <v>5</v>
      </c>
      <c r="E277" s="684">
        <v>1</v>
      </c>
      <c r="F277" t="s">
        <v>21</v>
      </c>
      <c r="G277" s="684">
        <v>1</v>
      </c>
      <c r="H277" s="684">
        <v>199.89</v>
      </c>
      <c r="I277" t="s">
        <v>691</v>
      </c>
    </row>
    <row r="278" spans="1:9">
      <c r="A278" s="177">
        <v>45108</v>
      </c>
      <c r="B278" t="s">
        <v>570</v>
      </c>
      <c r="C278" t="s">
        <v>375</v>
      </c>
      <c r="D278" s="684">
        <v>5</v>
      </c>
      <c r="E278" s="684">
        <v>2</v>
      </c>
      <c r="F278" t="s">
        <v>16</v>
      </c>
      <c r="G278" s="684">
        <v>1</v>
      </c>
      <c r="H278" s="684">
        <v>202.5</v>
      </c>
      <c r="I278" t="s">
        <v>691</v>
      </c>
    </row>
    <row r="279" spans="1:9">
      <c r="A279" s="177">
        <v>45108</v>
      </c>
      <c r="B279" t="s">
        <v>570</v>
      </c>
      <c r="C279" t="s">
        <v>375</v>
      </c>
      <c r="D279" s="684">
        <v>5</v>
      </c>
      <c r="E279" s="684">
        <v>2</v>
      </c>
      <c r="F279" t="s">
        <v>17</v>
      </c>
      <c r="G279" s="684">
        <v>1.0789</v>
      </c>
      <c r="H279" s="684">
        <v>218.48</v>
      </c>
      <c r="I279" t="s">
        <v>691</v>
      </c>
    </row>
    <row r="280" spans="1:9">
      <c r="A280" s="177">
        <v>45108</v>
      </c>
      <c r="B280" t="s">
        <v>570</v>
      </c>
      <c r="C280" t="s">
        <v>375</v>
      </c>
      <c r="D280" s="684">
        <v>5</v>
      </c>
      <c r="E280" s="684">
        <v>2</v>
      </c>
      <c r="F280" t="s">
        <v>18</v>
      </c>
      <c r="G280" s="684">
        <v>1</v>
      </c>
      <c r="H280" s="684">
        <v>202.5</v>
      </c>
      <c r="I280" t="s">
        <v>691</v>
      </c>
    </row>
    <row r="281" spans="1:9">
      <c r="A281" s="177">
        <v>45108</v>
      </c>
      <c r="B281" t="s">
        <v>570</v>
      </c>
      <c r="C281" t="s">
        <v>375</v>
      </c>
      <c r="D281" s="684">
        <v>5</v>
      </c>
      <c r="E281" s="684">
        <v>2</v>
      </c>
      <c r="F281" t="s">
        <v>19</v>
      </c>
      <c r="G281" s="684">
        <v>1</v>
      </c>
      <c r="H281" s="684">
        <v>202.5</v>
      </c>
      <c r="I281" t="s">
        <v>691</v>
      </c>
    </row>
    <row r="282" spans="1:9">
      <c r="A282" s="177">
        <v>45108</v>
      </c>
      <c r="B282" t="s">
        <v>570</v>
      </c>
      <c r="C282" t="s">
        <v>375</v>
      </c>
      <c r="D282" s="684">
        <v>5</v>
      </c>
      <c r="E282" s="684">
        <v>2</v>
      </c>
      <c r="F282" t="s">
        <v>20</v>
      </c>
      <c r="G282" s="684">
        <v>1.0629</v>
      </c>
      <c r="H282" s="684">
        <v>215.24</v>
      </c>
      <c r="I282" t="s">
        <v>691</v>
      </c>
    </row>
    <row r="283" spans="1:9">
      <c r="A283" s="177">
        <v>45108</v>
      </c>
      <c r="B283" t="s">
        <v>570</v>
      </c>
      <c r="C283" t="s">
        <v>375</v>
      </c>
      <c r="D283" s="684">
        <v>5</v>
      </c>
      <c r="E283" s="684">
        <v>2</v>
      </c>
      <c r="F283" t="s">
        <v>21</v>
      </c>
      <c r="G283" s="684">
        <v>1</v>
      </c>
      <c r="H283" s="684">
        <v>202.5</v>
      </c>
      <c r="I283" t="s">
        <v>691</v>
      </c>
    </row>
    <row r="284" spans="1:9">
      <c r="A284" s="177">
        <v>45108</v>
      </c>
      <c r="B284" t="s">
        <v>571</v>
      </c>
      <c r="C284" t="s">
        <v>375</v>
      </c>
      <c r="D284" s="684">
        <v>5</v>
      </c>
      <c r="E284" s="684">
        <v>3</v>
      </c>
      <c r="F284" t="s">
        <v>16</v>
      </c>
      <c r="G284" s="684">
        <v>1</v>
      </c>
      <c r="H284" s="684">
        <v>206.76</v>
      </c>
      <c r="I284" t="s">
        <v>691</v>
      </c>
    </row>
    <row r="285" spans="1:9">
      <c r="A285" s="177">
        <v>45108</v>
      </c>
      <c r="B285" t="s">
        <v>571</v>
      </c>
      <c r="C285" t="s">
        <v>375</v>
      </c>
      <c r="D285" s="684">
        <v>5</v>
      </c>
      <c r="E285" s="684">
        <v>3</v>
      </c>
      <c r="F285" t="s">
        <v>17</v>
      </c>
      <c r="G285" s="684">
        <v>1.0789</v>
      </c>
      <c r="H285" s="684">
        <v>223.07</v>
      </c>
      <c r="I285" t="s">
        <v>691</v>
      </c>
    </row>
    <row r="286" spans="1:9">
      <c r="A286" s="177">
        <v>45108</v>
      </c>
      <c r="B286" t="s">
        <v>571</v>
      </c>
      <c r="C286" t="s">
        <v>375</v>
      </c>
      <c r="D286" s="684">
        <v>5</v>
      </c>
      <c r="E286" s="684">
        <v>3</v>
      </c>
      <c r="F286" t="s">
        <v>18</v>
      </c>
      <c r="G286" s="684">
        <v>1</v>
      </c>
      <c r="H286" s="684">
        <v>206.76</v>
      </c>
      <c r="I286" t="s">
        <v>691</v>
      </c>
    </row>
    <row r="287" spans="1:9">
      <c r="A287" s="177">
        <v>45108</v>
      </c>
      <c r="B287" t="s">
        <v>571</v>
      </c>
      <c r="C287" t="s">
        <v>375</v>
      </c>
      <c r="D287" s="684">
        <v>5</v>
      </c>
      <c r="E287" s="684">
        <v>3</v>
      </c>
      <c r="F287" t="s">
        <v>19</v>
      </c>
      <c r="G287" s="684">
        <v>1</v>
      </c>
      <c r="H287" s="684">
        <v>206.76</v>
      </c>
      <c r="I287" t="s">
        <v>691</v>
      </c>
    </row>
    <row r="288" spans="1:9">
      <c r="A288" s="177">
        <v>45108</v>
      </c>
      <c r="B288" t="s">
        <v>571</v>
      </c>
      <c r="C288" t="s">
        <v>375</v>
      </c>
      <c r="D288" s="684">
        <v>5</v>
      </c>
      <c r="E288" s="684">
        <v>3</v>
      </c>
      <c r="F288" t="s">
        <v>20</v>
      </c>
      <c r="G288" s="684">
        <v>1.0629</v>
      </c>
      <c r="H288" s="684">
        <v>219.77</v>
      </c>
      <c r="I288" t="s">
        <v>691</v>
      </c>
    </row>
    <row r="289" spans="1:9">
      <c r="A289" s="177">
        <v>45108</v>
      </c>
      <c r="B289" t="s">
        <v>571</v>
      </c>
      <c r="C289" t="s">
        <v>375</v>
      </c>
      <c r="D289" s="684">
        <v>5</v>
      </c>
      <c r="E289" s="684">
        <v>3</v>
      </c>
      <c r="F289" t="s">
        <v>21</v>
      </c>
      <c r="G289" s="684">
        <v>1</v>
      </c>
      <c r="H289" s="684">
        <v>206.76</v>
      </c>
      <c r="I289" t="s">
        <v>691</v>
      </c>
    </row>
    <row r="290" spans="1:9">
      <c r="A290" s="177">
        <v>45108</v>
      </c>
      <c r="B290" t="s">
        <v>572</v>
      </c>
      <c r="C290" t="s">
        <v>375</v>
      </c>
      <c r="D290" s="684">
        <v>5</v>
      </c>
      <c r="E290" s="684">
        <v>4</v>
      </c>
      <c r="F290" t="s">
        <v>16</v>
      </c>
      <c r="G290" s="684">
        <v>1</v>
      </c>
      <c r="H290" s="684">
        <v>212.51</v>
      </c>
      <c r="I290" t="s">
        <v>691</v>
      </c>
    </row>
    <row r="291" spans="1:9">
      <c r="A291" s="177">
        <v>45108</v>
      </c>
      <c r="B291" t="s">
        <v>572</v>
      </c>
      <c r="C291" t="s">
        <v>375</v>
      </c>
      <c r="D291" s="684">
        <v>5</v>
      </c>
      <c r="E291" s="684">
        <v>4</v>
      </c>
      <c r="F291" t="s">
        <v>17</v>
      </c>
      <c r="G291" s="684">
        <v>1.0789</v>
      </c>
      <c r="H291" s="684">
        <v>229.28</v>
      </c>
      <c r="I291" t="s">
        <v>691</v>
      </c>
    </row>
    <row r="292" spans="1:9">
      <c r="A292" s="177">
        <v>45108</v>
      </c>
      <c r="B292" t="s">
        <v>572</v>
      </c>
      <c r="C292" t="s">
        <v>375</v>
      </c>
      <c r="D292" s="684">
        <v>5</v>
      </c>
      <c r="E292" s="684">
        <v>4</v>
      </c>
      <c r="F292" t="s">
        <v>18</v>
      </c>
      <c r="G292" s="684">
        <v>1</v>
      </c>
      <c r="H292" s="684">
        <v>212.51</v>
      </c>
      <c r="I292" t="s">
        <v>691</v>
      </c>
    </row>
    <row r="293" spans="1:9">
      <c r="A293" s="177">
        <v>45108</v>
      </c>
      <c r="B293" t="s">
        <v>572</v>
      </c>
      <c r="C293" t="s">
        <v>375</v>
      </c>
      <c r="D293" s="684">
        <v>5</v>
      </c>
      <c r="E293" s="684">
        <v>4</v>
      </c>
      <c r="F293" t="s">
        <v>19</v>
      </c>
      <c r="G293" s="684">
        <v>1</v>
      </c>
      <c r="H293" s="684">
        <v>212.51</v>
      </c>
      <c r="I293" t="s">
        <v>691</v>
      </c>
    </row>
    <row r="294" spans="1:9">
      <c r="A294" s="177">
        <v>45108</v>
      </c>
      <c r="B294" t="s">
        <v>572</v>
      </c>
      <c r="C294" t="s">
        <v>375</v>
      </c>
      <c r="D294" s="684">
        <v>5</v>
      </c>
      <c r="E294" s="684">
        <v>4</v>
      </c>
      <c r="F294" t="s">
        <v>20</v>
      </c>
      <c r="G294" s="684">
        <v>1.0629</v>
      </c>
      <c r="H294" s="684">
        <v>225.88</v>
      </c>
      <c r="I294" t="s">
        <v>691</v>
      </c>
    </row>
    <row r="295" spans="1:9">
      <c r="A295" s="177">
        <v>45108</v>
      </c>
      <c r="B295" t="s">
        <v>572</v>
      </c>
      <c r="C295" t="s">
        <v>375</v>
      </c>
      <c r="D295" s="684">
        <v>5</v>
      </c>
      <c r="E295" s="684">
        <v>4</v>
      </c>
      <c r="F295" t="s">
        <v>21</v>
      </c>
      <c r="G295" s="684">
        <v>1</v>
      </c>
      <c r="H295" s="684">
        <v>212.51</v>
      </c>
      <c r="I295" t="s">
        <v>691</v>
      </c>
    </row>
    <row r="296" spans="1:9">
      <c r="A296" s="177">
        <v>45108</v>
      </c>
      <c r="B296" t="s">
        <v>573</v>
      </c>
      <c r="C296" t="s">
        <v>375</v>
      </c>
      <c r="D296" s="684">
        <v>5</v>
      </c>
      <c r="E296" s="684">
        <v>5</v>
      </c>
      <c r="F296" t="s">
        <v>16</v>
      </c>
      <c r="G296" s="684">
        <v>1</v>
      </c>
      <c r="H296" s="684">
        <v>217.58</v>
      </c>
      <c r="I296" t="s">
        <v>691</v>
      </c>
    </row>
    <row r="297" spans="1:9">
      <c r="A297" s="177">
        <v>45108</v>
      </c>
      <c r="B297" t="s">
        <v>573</v>
      </c>
      <c r="C297" t="s">
        <v>375</v>
      </c>
      <c r="D297" s="684">
        <v>5</v>
      </c>
      <c r="E297" s="684">
        <v>5</v>
      </c>
      <c r="F297" t="s">
        <v>17</v>
      </c>
      <c r="G297" s="684">
        <v>1.0789</v>
      </c>
      <c r="H297" s="684">
        <v>234.75</v>
      </c>
      <c r="I297" t="s">
        <v>691</v>
      </c>
    </row>
    <row r="298" spans="1:9">
      <c r="A298" s="177">
        <v>45108</v>
      </c>
      <c r="B298" t="s">
        <v>573</v>
      </c>
      <c r="C298" t="s">
        <v>375</v>
      </c>
      <c r="D298" s="684">
        <v>5</v>
      </c>
      <c r="E298" s="684">
        <v>5</v>
      </c>
      <c r="F298" t="s">
        <v>18</v>
      </c>
      <c r="G298" s="684">
        <v>1</v>
      </c>
      <c r="H298" s="684">
        <v>217.58</v>
      </c>
      <c r="I298" t="s">
        <v>691</v>
      </c>
    </row>
    <row r="299" spans="1:9">
      <c r="A299" s="177">
        <v>45108</v>
      </c>
      <c r="B299" t="s">
        <v>573</v>
      </c>
      <c r="C299" t="s">
        <v>375</v>
      </c>
      <c r="D299" s="684">
        <v>5</v>
      </c>
      <c r="E299" s="684">
        <v>5</v>
      </c>
      <c r="F299" t="s">
        <v>19</v>
      </c>
      <c r="G299" s="684">
        <v>1</v>
      </c>
      <c r="H299" s="684">
        <v>217.58</v>
      </c>
      <c r="I299" t="s">
        <v>691</v>
      </c>
    </row>
    <row r="300" spans="1:9">
      <c r="A300" s="177">
        <v>45108</v>
      </c>
      <c r="B300" t="s">
        <v>573</v>
      </c>
      <c r="C300" t="s">
        <v>375</v>
      </c>
      <c r="D300" s="684">
        <v>5</v>
      </c>
      <c r="E300" s="684">
        <v>5</v>
      </c>
      <c r="F300" t="s">
        <v>20</v>
      </c>
      <c r="G300" s="684">
        <v>1.0629</v>
      </c>
      <c r="H300" s="684">
        <v>231.27</v>
      </c>
      <c r="I300" t="s">
        <v>691</v>
      </c>
    </row>
    <row r="301" spans="1:9">
      <c r="A301" s="177">
        <v>45108</v>
      </c>
      <c r="B301" t="s">
        <v>573</v>
      </c>
      <c r="C301" t="s">
        <v>375</v>
      </c>
      <c r="D301" s="684">
        <v>5</v>
      </c>
      <c r="E301" s="684">
        <v>5</v>
      </c>
      <c r="F301" t="s">
        <v>21</v>
      </c>
      <c r="G301" s="684">
        <v>1</v>
      </c>
      <c r="H301" s="684">
        <v>217.58</v>
      </c>
      <c r="I301" t="s">
        <v>691</v>
      </c>
    </row>
    <row r="302" spans="1:9">
      <c r="A302" s="177">
        <v>45108</v>
      </c>
      <c r="B302" t="s">
        <v>574</v>
      </c>
      <c r="C302" t="s">
        <v>575</v>
      </c>
      <c r="D302" s="684">
        <v>1</v>
      </c>
      <c r="E302" s="684">
        <v>1</v>
      </c>
      <c r="F302" t="s">
        <v>16</v>
      </c>
      <c r="G302" s="684">
        <v>1</v>
      </c>
      <c r="H302" s="684">
        <v>28.8</v>
      </c>
      <c r="I302" t="s">
        <v>700</v>
      </c>
    </row>
    <row r="303" spans="1:9">
      <c r="A303" s="177">
        <v>45108</v>
      </c>
      <c r="B303" t="s">
        <v>574</v>
      </c>
      <c r="C303" t="s">
        <v>575</v>
      </c>
      <c r="D303" s="684">
        <v>1</v>
      </c>
      <c r="E303" s="684">
        <v>1</v>
      </c>
      <c r="F303" t="s">
        <v>17</v>
      </c>
      <c r="G303" s="684">
        <v>1.0789</v>
      </c>
      <c r="H303" s="684">
        <v>31.07</v>
      </c>
      <c r="I303" t="s">
        <v>700</v>
      </c>
    </row>
    <row r="304" spans="1:9">
      <c r="A304" s="177">
        <v>45108</v>
      </c>
      <c r="B304" t="s">
        <v>574</v>
      </c>
      <c r="C304" t="s">
        <v>575</v>
      </c>
      <c r="D304" s="684">
        <v>1</v>
      </c>
      <c r="E304" s="684">
        <v>1</v>
      </c>
      <c r="F304" t="s">
        <v>18</v>
      </c>
      <c r="G304" s="684">
        <v>1</v>
      </c>
      <c r="H304" s="684">
        <v>28.8</v>
      </c>
      <c r="I304" t="s">
        <v>700</v>
      </c>
    </row>
    <row r="305" spans="1:9">
      <c r="A305" s="177">
        <v>45108</v>
      </c>
      <c r="B305" t="s">
        <v>574</v>
      </c>
      <c r="C305" t="s">
        <v>575</v>
      </c>
      <c r="D305" s="684">
        <v>1</v>
      </c>
      <c r="E305" s="684">
        <v>1</v>
      </c>
      <c r="F305" t="s">
        <v>19</v>
      </c>
      <c r="G305" s="684">
        <v>1</v>
      </c>
      <c r="H305" s="684">
        <v>28.8</v>
      </c>
      <c r="I305" t="s">
        <v>700</v>
      </c>
    </row>
    <row r="306" spans="1:9">
      <c r="A306" s="177">
        <v>45108</v>
      </c>
      <c r="B306" t="s">
        <v>574</v>
      </c>
      <c r="C306" t="s">
        <v>575</v>
      </c>
      <c r="D306" s="684">
        <v>1</v>
      </c>
      <c r="E306" s="684">
        <v>1</v>
      </c>
      <c r="F306" t="s">
        <v>20</v>
      </c>
      <c r="G306" s="684">
        <v>1.0629</v>
      </c>
      <c r="H306" s="684">
        <v>30.61</v>
      </c>
      <c r="I306" t="s">
        <v>700</v>
      </c>
    </row>
    <row r="307" spans="1:9">
      <c r="A307" s="177">
        <v>45108</v>
      </c>
      <c r="B307" t="s">
        <v>574</v>
      </c>
      <c r="C307" t="s">
        <v>575</v>
      </c>
      <c r="D307" s="684">
        <v>1</v>
      </c>
      <c r="E307" s="684">
        <v>1</v>
      </c>
      <c r="F307" t="s">
        <v>21</v>
      </c>
      <c r="G307" s="684">
        <v>1</v>
      </c>
      <c r="H307" s="684">
        <v>28.8</v>
      </c>
      <c r="I307" t="s">
        <v>700</v>
      </c>
    </row>
    <row r="308" spans="1:9">
      <c r="A308" s="177">
        <v>45108</v>
      </c>
      <c r="B308" t="s">
        <v>576</v>
      </c>
      <c r="C308" t="s">
        <v>575</v>
      </c>
      <c r="D308" s="684">
        <v>1</v>
      </c>
      <c r="E308" s="684">
        <v>2</v>
      </c>
      <c r="F308" t="s">
        <v>16</v>
      </c>
      <c r="G308" s="684">
        <v>1</v>
      </c>
      <c r="H308" s="684">
        <v>31.78</v>
      </c>
      <c r="I308" t="s">
        <v>700</v>
      </c>
    </row>
    <row r="309" spans="1:9">
      <c r="A309" s="177">
        <v>45108</v>
      </c>
      <c r="B309" t="s">
        <v>576</v>
      </c>
      <c r="C309" t="s">
        <v>575</v>
      </c>
      <c r="D309" s="684">
        <v>1</v>
      </c>
      <c r="E309" s="684">
        <v>2</v>
      </c>
      <c r="F309" t="s">
        <v>17</v>
      </c>
      <c r="G309" s="684">
        <v>1.0789</v>
      </c>
      <c r="H309" s="684">
        <v>34.29</v>
      </c>
      <c r="I309" t="s">
        <v>700</v>
      </c>
    </row>
    <row r="310" spans="1:9">
      <c r="A310" s="177">
        <v>45108</v>
      </c>
      <c r="B310" t="s">
        <v>576</v>
      </c>
      <c r="C310" t="s">
        <v>575</v>
      </c>
      <c r="D310" s="684">
        <v>1</v>
      </c>
      <c r="E310" s="684">
        <v>2</v>
      </c>
      <c r="F310" t="s">
        <v>18</v>
      </c>
      <c r="G310" s="684">
        <v>1</v>
      </c>
      <c r="H310" s="684">
        <v>31.78</v>
      </c>
      <c r="I310" t="s">
        <v>700</v>
      </c>
    </row>
    <row r="311" spans="1:9">
      <c r="A311" s="177">
        <v>45108</v>
      </c>
      <c r="B311" t="s">
        <v>576</v>
      </c>
      <c r="C311" t="s">
        <v>575</v>
      </c>
      <c r="D311" s="684">
        <v>1</v>
      </c>
      <c r="E311" s="684">
        <v>2</v>
      </c>
      <c r="F311" t="s">
        <v>19</v>
      </c>
      <c r="G311" s="684">
        <v>1</v>
      </c>
      <c r="H311" s="684">
        <v>31.78</v>
      </c>
      <c r="I311" t="s">
        <v>700</v>
      </c>
    </row>
    <row r="312" spans="1:9">
      <c r="A312" s="177">
        <v>45108</v>
      </c>
      <c r="B312" t="s">
        <v>576</v>
      </c>
      <c r="C312" t="s">
        <v>575</v>
      </c>
      <c r="D312" s="684">
        <v>1</v>
      </c>
      <c r="E312" s="684">
        <v>2</v>
      </c>
      <c r="F312" t="s">
        <v>20</v>
      </c>
      <c r="G312" s="684">
        <v>1.0629</v>
      </c>
      <c r="H312" s="684">
        <v>33.78</v>
      </c>
      <c r="I312" t="s">
        <v>700</v>
      </c>
    </row>
    <row r="313" spans="1:9">
      <c r="A313" s="177">
        <v>45108</v>
      </c>
      <c r="B313" t="s">
        <v>576</v>
      </c>
      <c r="C313" t="s">
        <v>575</v>
      </c>
      <c r="D313" s="684">
        <v>1</v>
      </c>
      <c r="E313" s="684">
        <v>2</v>
      </c>
      <c r="F313" t="s">
        <v>21</v>
      </c>
      <c r="G313" s="684">
        <v>1</v>
      </c>
      <c r="H313" s="684">
        <v>31.78</v>
      </c>
      <c r="I313" t="s">
        <v>700</v>
      </c>
    </row>
    <row r="314" spans="1:9">
      <c r="A314" s="177">
        <v>45108</v>
      </c>
      <c r="B314" t="s">
        <v>577</v>
      </c>
      <c r="C314" t="s">
        <v>575</v>
      </c>
      <c r="D314" s="684">
        <v>1</v>
      </c>
      <c r="E314" s="684">
        <v>3</v>
      </c>
      <c r="F314" t="s">
        <v>16</v>
      </c>
      <c r="G314" s="684">
        <v>1</v>
      </c>
      <c r="H314" s="684">
        <v>36.64</v>
      </c>
      <c r="I314" t="s">
        <v>700</v>
      </c>
    </row>
    <row r="315" spans="1:9">
      <c r="A315" s="177">
        <v>45108</v>
      </c>
      <c r="B315" t="s">
        <v>577</v>
      </c>
      <c r="C315" t="s">
        <v>575</v>
      </c>
      <c r="D315" s="684">
        <v>1</v>
      </c>
      <c r="E315" s="684">
        <v>3</v>
      </c>
      <c r="F315" t="s">
        <v>17</v>
      </c>
      <c r="G315" s="684">
        <v>1.0789</v>
      </c>
      <c r="H315" s="684">
        <v>39.53</v>
      </c>
      <c r="I315" t="s">
        <v>700</v>
      </c>
    </row>
    <row r="316" spans="1:9">
      <c r="A316" s="177">
        <v>45108</v>
      </c>
      <c r="B316" t="s">
        <v>577</v>
      </c>
      <c r="C316" t="s">
        <v>575</v>
      </c>
      <c r="D316" s="684">
        <v>1</v>
      </c>
      <c r="E316" s="684">
        <v>3</v>
      </c>
      <c r="F316" t="s">
        <v>18</v>
      </c>
      <c r="G316" s="684">
        <v>1</v>
      </c>
      <c r="H316" s="684">
        <v>36.64</v>
      </c>
      <c r="I316" t="s">
        <v>700</v>
      </c>
    </row>
    <row r="317" spans="1:9">
      <c r="A317" s="177">
        <v>45108</v>
      </c>
      <c r="B317" t="s">
        <v>577</v>
      </c>
      <c r="C317" t="s">
        <v>575</v>
      </c>
      <c r="D317" s="684">
        <v>1</v>
      </c>
      <c r="E317" s="684">
        <v>3</v>
      </c>
      <c r="F317" t="s">
        <v>19</v>
      </c>
      <c r="G317" s="684">
        <v>1</v>
      </c>
      <c r="H317" s="684">
        <v>36.64</v>
      </c>
      <c r="I317" t="s">
        <v>700</v>
      </c>
    </row>
    <row r="318" spans="1:9">
      <c r="A318" s="177">
        <v>45108</v>
      </c>
      <c r="B318" t="s">
        <v>577</v>
      </c>
      <c r="C318" t="s">
        <v>575</v>
      </c>
      <c r="D318" s="684">
        <v>1</v>
      </c>
      <c r="E318" s="684">
        <v>3</v>
      </c>
      <c r="F318" t="s">
        <v>20</v>
      </c>
      <c r="G318" s="684">
        <v>1.0629</v>
      </c>
      <c r="H318" s="684">
        <v>38.94</v>
      </c>
      <c r="I318" t="s">
        <v>700</v>
      </c>
    </row>
    <row r="319" spans="1:9">
      <c r="A319" s="177">
        <v>45108</v>
      </c>
      <c r="B319" t="s">
        <v>577</v>
      </c>
      <c r="C319" t="s">
        <v>575</v>
      </c>
      <c r="D319" s="684">
        <v>1</v>
      </c>
      <c r="E319" s="684">
        <v>3</v>
      </c>
      <c r="F319" t="s">
        <v>21</v>
      </c>
      <c r="G319" s="684">
        <v>1</v>
      </c>
      <c r="H319" s="684">
        <v>36.64</v>
      </c>
      <c r="I319" t="s">
        <v>700</v>
      </c>
    </row>
    <row r="320" spans="1:9">
      <c r="A320" s="177">
        <v>45108</v>
      </c>
      <c r="B320" t="s">
        <v>578</v>
      </c>
      <c r="C320" t="s">
        <v>575</v>
      </c>
      <c r="D320" s="684">
        <v>1</v>
      </c>
      <c r="E320" s="684">
        <v>4</v>
      </c>
      <c r="F320" t="s">
        <v>16</v>
      </c>
      <c r="G320" s="684">
        <v>1</v>
      </c>
      <c r="H320" s="684">
        <v>43.22</v>
      </c>
      <c r="I320" t="s">
        <v>700</v>
      </c>
    </row>
    <row r="321" spans="1:9">
      <c r="A321" s="177">
        <v>45108</v>
      </c>
      <c r="B321" t="s">
        <v>578</v>
      </c>
      <c r="C321" t="s">
        <v>575</v>
      </c>
      <c r="D321" s="684">
        <v>1</v>
      </c>
      <c r="E321" s="684">
        <v>4</v>
      </c>
      <c r="F321" t="s">
        <v>17</v>
      </c>
      <c r="G321" s="684">
        <v>1.0789</v>
      </c>
      <c r="H321" s="684">
        <v>46.63</v>
      </c>
      <c r="I321" t="s">
        <v>700</v>
      </c>
    </row>
    <row r="322" spans="1:9">
      <c r="A322" s="177">
        <v>45108</v>
      </c>
      <c r="B322" t="s">
        <v>578</v>
      </c>
      <c r="C322" t="s">
        <v>575</v>
      </c>
      <c r="D322" s="684">
        <v>1</v>
      </c>
      <c r="E322" s="684">
        <v>4</v>
      </c>
      <c r="F322" t="s">
        <v>18</v>
      </c>
      <c r="G322" s="684">
        <v>1</v>
      </c>
      <c r="H322" s="684">
        <v>43.22</v>
      </c>
      <c r="I322" t="s">
        <v>700</v>
      </c>
    </row>
    <row r="323" spans="1:9">
      <c r="A323" s="177">
        <v>45108</v>
      </c>
      <c r="B323" t="s">
        <v>578</v>
      </c>
      <c r="C323" t="s">
        <v>575</v>
      </c>
      <c r="D323" s="684">
        <v>1</v>
      </c>
      <c r="E323" s="684">
        <v>4</v>
      </c>
      <c r="F323" t="s">
        <v>19</v>
      </c>
      <c r="G323" s="684">
        <v>1</v>
      </c>
      <c r="H323" s="684">
        <v>43.22</v>
      </c>
      <c r="I323" t="s">
        <v>700</v>
      </c>
    </row>
    <row r="324" spans="1:9">
      <c r="A324" s="177">
        <v>45108</v>
      </c>
      <c r="B324" t="s">
        <v>578</v>
      </c>
      <c r="C324" t="s">
        <v>575</v>
      </c>
      <c r="D324" s="684">
        <v>1</v>
      </c>
      <c r="E324" s="684">
        <v>4</v>
      </c>
      <c r="F324" t="s">
        <v>20</v>
      </c>
      <c r="G324" s="684">
        <v>1.0629</v>
      </c>
      <c r="H324" s="684">
        <v>45.94</v>
      </c>
      <c r="I324" t="s">
        <v>700</v>
      </c>
    </row>
    <row r="325" spans="1:9">
      <c r="A325" s="177">
        <v>45108</v>
      </c>
      <c r="B325" t="s">
        <v>578</v>
      </c>
      <c r="C325" t="s">
        <v>575</v>
      </c>
      <c r="D325" s="684">
        <v>1</v>
      </c>
      <c r="E325" s="684">
        <v>4</v>
      </c>
      <c r="F325" t="s">
        <v>21</v>
      </c>
      <c r="G325" s="684">
        <v>1</v>
      </c>
      <c r="H325" s="684">
        <v>43.22</v>
      </c>
      <c r="I325" t="s">
        <v>700</v>
      </c>
    </row>
    <row r="326" spans="1:9">
      <c r="A326" s="177">
        <v>45108</v>
      </c>
      <c r="B326" t="s">
        <v>579</v>
      </c>
      <c r="C326" t="s">
        <v>575</v>
      </c>
      <c r="D326" s="684">
        <v>1</v>
      </c>
      <c r="E326" s="684">
        <v>5</v>
      </c>
      <c r="F326" t="s">
        <v>16</v>
      </c>
      <c r="G326" s="684">
        <v>1</v>
      </c>
      <c r="H326" s="684">
        <v>48.98</v>
      </c>
      <c r="I326" t="s">
        <v>700</v>
      </c>
    </row>
    <row r="327" spans="1:9">
      <c r="A327" s="177">
        <v>45108</v>
      </c>
      <c r="B327" t="s">
        <v>579</v>
      </c>
      <c r="C327" t="s">
        <v>575</v>
      </c>
      <c r="D327" s="684">
        <v>1</v>
      </c>
      <c r="E327" s="684">
        <v>5</v>
      </c>
      <c r="F327" t="s">
        <v>17</v>
      </c>
      <c r="G327" s="684">
        <v>1.0789</v>
      </c>
      <c r="H327" s="684">
        <v>52.84</v>
      </c>
      <c r="I327" t="s">
        <v>700</v>
      </c>
    </row>
    <row r="328" spans="1:9">
      <c r="A328" s="177">
        <v>45108</v>
      </c>
      <c r="B328" t="s">
        <v>579</v>
      </c>
      <c r="C328" t="s">
        <v>575</v>
      </c>
      <c r="D328" s="684">
        <v>1</v>
      </c>
      <c r="E328" s="684">
        <v>5</v>
      </c>
      <c r="F328" t="s">
        <v>18</v>
      </c>
      <c r="G328" s="684">
        <v>1</v>
      </c>
      <c r="H328" s="684">
        <v>48.98</v>
      </c>
      <c r="I328" t="s">
        <v>700</v>
      </c>
    </row>
    <row r="329" spans="1:9">
      <c r="A329" s="177">
        <v>45108</v>
      </c>
      <c r="B329" t="s">
        <v>579</v>
      </c>
      <c r="C329" t="s">
        <v>575</v>
      </c>
      <c r="D329" s="684">
        <v>1</v>
      </c>
      <c r="E329" s="684">
        <v>5</v>
      </c>
      <c r="F329" t="s">
        <v>19</v>
      </c>
      <c r="G329" s="684">
        <v>1</v>
      </c>
      <c r="H329" s="684">
        <v>48.98</v>
      </c>
      <c r="I329" t="s">
        <v>700</v>
      </c>
    </row>
    <row r="330" spans="1:9">
      <c r="A330" s="177">
        <v>45108</v>
      </c>
      <c r="B330" t="s">
        <v>579</v>
      </c>
      <c r="C330" t="s">
        <v>575</v>
      </c>
      <c r="D330" s="684">
        <v>1</v>
      </c>
      <c r="E330" s="684">
        <v>5</v>
      </c>
      <c r="F330" t="s">
        <v>20</v>
      </c>
      <c r="G330" s="684">
        <v>1.0629</v>
      </c>
      <c r="H330" s="684">
        <v>52.06</v>
      </c>
      <c r="I330" t="s">
        <v>700</v>
      </c>
    </row>
    <row r="331" spans="1:9">
      <c r="A331" s="177">
        <v>45108</v>
      </c>
      <c r="B331" t="s">
        <v>579</v>
      </c>
      <c r="C331" t="s">
        <v>575</v>
      </c>
      <c r="D331" s="684">
        <v>1</v>
      </c>
      <c r="E331" s="684">
        <v>5</v>
      </c>
      <c r="F331" t="s">
        <v>21</v>
      </c>
      <c r="G331" s="684">
        <v>1</v>
      </c>
      <c r="H331" s="684">
        <v>48.98</v>
      </c>
      <c r="I331" t="s">
        <v>700</v>
      </c>
    </row>
    <row r="332" spans="1:9">
      <c r="A332" s="177">
        <v>45108</v>
      </c>
      <c r="B332" t="s">
        <v>580</v>
      </c>
      <c r="C332" t="s">
        <v>575</v>
      </c>
      <c r="D332" s="684">
        <v>2</v>
      </c>
      <c r="E332" s="684">
        <v>1</v>
      </c>
      <c r="F332" t="s">
        <v>16</v>
      </c>
      <c r="G332" s="684">
        <v>1</v>
      </c>
      <c r="H332" s="684">
        <v>34.409999999999997</v>
      </c>
      <c r="I332" t="s">
        <v>700</v>
      </c>
    </row>
    <row r="333" spans="1:9">
      <c r="A333" s="177">
        <v>45108</v>
      </c>
      <c r="B333" t="s">
        <v>580</v>
      </c>
      <c r="C333" t="s">
        <v>575</v>
      </c>
      <c r="D333" s="684">
        <v>2</v>
      </c>
      <c r="E333" s="684">
        <v>1</v>
      </c>
      <c r="F333" t="s">
        <v>17</v>
      </c>
      <c r="G333" s="684">
        <v>1.0789</v>
      </c>
      <c r="H333" s="684">
        <v>37.119999999999997</v>
      </c>
      <c r="I333" t="s">
        <v>700</v>
      </c>
    </row>
    <row r="334" spans="1:9">
      <c r="A334" s="177">
        <v>45108</v>
      </c>
      <c r="B334" t="s">
        <v>580</v>
      </c>
      <c r="C334" t="s">
        <v>575</v>
      </c>
      <c r="D334" s="684">
        <v>2</v>
      </c>
      <c r="E334" s="684">
        <v>1</v>
      </c>
      <c r="F334" t="s">
        <v>18</v>
      </c>
      <c r="G334" s="684">
        <v>1</v>
      </c>
      <c r="H334" s="684">
        <v>34.409999999999997</v>
      </c>
      <c r="I334" t="s">
        <v>700</v>
      </c>
    </row>
    <row r="335" spans="1:9">
      <c r="A335" s="177">
        <v>45108</v>
      </c>
      <c r="B335" t="s">
        <v>580</v>
      </c>
      <c r="C335" t="s">
        <v>575</v>
      </c>
      <c r="D335" s="684">
        <v>2</v>
      </c>
      <c r="E335" s="684">
        <v>1</v>
      </c>
      <c r="F335" t="s">
        <v>19</v>
      </c>
      <c r="G335" s="684">
        <v>1</v>
      </c>
      <c r="H335" s="684">
        <v>34.409999999999997</v>
      </c>
      <c r="I335" t="s">
        <v>700</v>
      </c>
    </row>
    <row r="336" spans="1:9">
      <c r="A336" s="177">
        <v>45108</v>
      </c>
      <c r="B336" t="s">
        <v>580</v>
      </c>
      <c r="C336" t="s">
        <v>575</v>
      </c>
      <c r="D336" s="684">
        <v>2</v>
      </c>
      <c r="E336" s="684">
        <v>1</v>
      </c>
      <c r="F336" t="s">
        <v>20</v>
      </c>
      <c r="G336" s="684">
        <v>1.0629</v>
      </c>
      <c r="H336" s="684">
        <v>36.57</v>
      </c>
      <c r="I336" t="s">
        <v>700</v>
      </c>
    </row>
    <row r="337" spans="1:9">
      <c r="A337" s="177">
        <v>45108</v>
      </c>
      <c r="B337" t="s">
        <v>580</v>
      </c>
      <c r="C337" t="s">
        <v>575</v>
      </c>
      <c r="D337" s="684">
        <v>2</v>
      </c>
      <c r="E337" s="684">
        <v>1</v>
      </c>
      <c r="F337" t="s">
        <v>21</v>
      </c>
      <c r="G337" s="684">
        <v>1</v>
      </c>
      <c r="H337" s="684">
        <v>34.409999999999997</v>
      </c>
      <c r="I337" t="s">
        <v>700</v>
      </c>
    </row>
    <row r="338" spans="1:9">
      <c r="A338" s="177">
        <v>45108</v>
      </c>
      <c r="B338" t="s">
        <v>581</v>
      </c>
      <c r="C338" t="s">
        <v>575</v>
      </c>
      <c r="D338" s="684">
        <v>2</v>
      </c>
      <c r="E338" s="684">
        <v>2</v>
      </c>
      <c r="F338" t="s">
        <v>16</v>
      </c>
      <c r="G338" s="684">
        <v>1</v>
      </c>
      <c r="H338" s="684">
        <v>37.39</v>
      </c>
      <c r="I338" t="s">
        <v>700</v>
      </c>
    </row>
    <row r="339" spans="1:9">
      <c r="A339" s="177">
        <v>45108</v>
      </c>
      <c r="B339" t="s">
        <v>581</v>
      </c>
      <c r="C339" t="s">
        <v>575</v>
      </c>
      <c r="D339" s="684">
        <v>2</v>
      </c>
      <c r="E339" s="684">
        <v>2</v>
      </c>
      <c r="F339" t="s">
        <v>17</v>
      </c>
      <c r="G339" s="684">
        <v>1.0789</v>
      </c>
      <c r="H339" s="684">
        <v>40.340000000000003</v>
      </c>
      <c r="I339" t="s">
        <v>700</v>
      </c>
    </row>
    <row r="340" spans="1:9">
      <c r="A340" s="177">
        <v>45108</v>
      </c>
      <c r="B340" t="s">
        <v>581</v>
      </c>
      <c r="C340" t="s">
        <v>575</v>
      </c>
      <c r="D340" s="684">
        <v>2</v>
      </c>
      <c r="E340" s="684">
        <v>2</v>
      </c>
      <c r="F340" t="s">
        <v>18</v>
      </c>
      <c r="G340" s="684">
        <v>1</v>
      </c>
      <c r="H340" s="684">
        <v>37.39</v>
      </c>
      <c r="I340" t="s">
        <v>700</v>
      </c>
    </row>
    <row r="341" spans="1:9">
      <c r="A341" s="177">
        <v>45108</v>
      </c>
      <c r="B341" t="s">
        <v>581</v>
      </c>
      <c r="C341" t="s">
        <v>575</v>
      </c>
      <c r="D341" s="684">
        <v>2</v>
      </c>
      <c r="E341" s="684">
        <v>2</v>
      </c>
      <c r="F341" t="s">
        <v>19</v>
      </c>
      <c r="G341" s="684">
        <v>1</v>
      </c>
      <c r="H341" s="684">
        <v>37.39</v>
      </c>
      <c r="I341" t="s">
        <v>700</v>
      </c>
    </row>
    <row r="342" spans="1:9">
      <c r="A342" s="177">
        <v>45108</v>
      </c>
      <c r="B342" t="s">
        <v>581</v>
      </c>
      <c r="C342" t="s">
        <v>575</v>
      </c>
      <c r="D342" s="684">
        <v>2</v>
      </c>
      <c r="E342" s="684">
        <v>2</v>
      </c>
      <c r="F342" t="s">
        <v>20</v>
      </c>
      <c r="G342" s="684">
        <v>1.0629</v>
      </c>
      <c r="H342" s="684">
        <v>39.74</v>
      </c>
      <c r="I342" t="s">
        <v>700</v>
      </c>
    </row>
    <row r="343" spans="1:9">
      <c r="A343" s="177">
        <v>45108</v>
      </c>
      <c r="B343" t="s">
        <v>581</v>
      </c>
      <c r="C343" t="s">
        <v>575</v>
      </c>
      <c r="D343" s="684">
        <v>2</v>
      </c>
      <c r="E343" s="684">
        <v>2</v>
      </c>
      <c r="F343" t="s">
        <v>21</v>
      </c>
      <c r="G343" s="684">
        <v>1</v>
      </c>
      <c r="H343" s="684">
        <v>37.39</v>
      </c>
      <c r="I343" t="s">
        <v>700</v>
      </c>
    </row>
    <row r="344" spans="1:9">
      <c r="A344" s="177">
        <v>45108</v>
      </c>
      <c r="B344" t="s">
        <v>582</v>
      </c>
      <c r="C344" t="s">
        <v>575</v>
      </c>
      <c r="D344" s="684">
        <v>2</v>
      </c>
      <c r="E344" s="684">
        <v>3</v>
      </c>
      <c r="F344" t="s">
        <v>16</v>
      </c>
      <c r="G344" s="684">
        <v>1</v>
      </c>
      <c r="H344" s="684">
        <v>42.28</v>
      </c>
      <c r="I344" t="s">
        <v>700</v>
      </c>
    </row>
    <row r="345" spans="1:9">
      <c r="A345" s="177">
        <v>45108</v>
      </c>
      <c r="B345" t="s">
        <v>582</v>
      </c>
      <c r="C345" t="s">
        <v>575</v>
      </c>
      <c r="D345" s="684">
        <v>2</v>
      </c>
      <c r="E345" s="684">
        <v>3</v>
      </c>
      <c r="F345" t="s">
        <v>17</v>
      </c>
      <c r="G345" s="684">
        <v>1.0789</v>
      </c>
      <c r="H345" s="684">
        <v>45.62</v>
      </c>
      <c r="I345" t="s">
        <v>700</v>
      </c>
    </row>
    <row r="346" spans="1:9">
      <c r="A346" s="177">
        <v>45108</v>
      </c>
      <c r="B346" t="s">
        <v>582</v>
      </c>
      <c r="C346" t="s">
        <v>575</v>
      </c>
      <c r="D346" s="684">
        <v>2</v>
      </c>
      <c r="E346" s="684">
        <v>3</v>
      </c>
      <c r="F346" t="s">
        <v>18</v>
      </c>
      <c r="G346" s="684">
        <v>1</v>
      </c>
      <c r="H346" s="684">
        <v>42.28</v>
      </c>
      <c r="I346" t="s">
        <v>700</v>
      </c>
    </row>
    <row r="347" spans="1:9">
      <c r="A347" s="177">
        <v>45108</v>
      </c>
      <c r="B347" t="s">
        <v>582</v>
      </c>
      <c r="C347" t="s">
        <v>575</v>
      </c>
      <c r="D347" s="684">
        <v>2</v>
      </c>
      <c r="E347" s="684">
        <v>3</v>
      </c>
      <c r="F347" t="s">
        <v>19</v>
      </c>
      <c r="G347" s="684">
        <v>1</v>
      </c>
      <c r="H347" s="684">
        <v>42.28</v>
      </c>
      <c r="I347" t="s">
        <v>700</v>
      </c>
    </row>
    <row r="348" spans="1:9">
      <c r="A348" s="177">
        <v>45108</v>
      </c>
      <c r="B348" t="s">
        <v>582</v>
      </c>
      <c r="C348" t="s">
        <v>575</v>
      </c>
      <c r="D348" s="684">
        <v>2</v>
      </c>
      <c r="E348" s="684">
        <v>3</v>
      </c>
      <c r="F348" t="s">
        <v>20</v>
      </c>
      <c r="G348" s="684">
        <v>1.0629</v>
      </c>
      <c r="H348" s="684">
        <v>44.94</v>
      </c>
      <c r="I348" t="s">
        <v>700</v>
      </c>
    </row>
    <row r="349" spans="1:9">
      <c r="A349" s="177">
        <v>45108</v>
      </c>
      <c r="B349" t="s">
        <v>582</v>
      </c>
      <c r="C349" t="s">
        <v>575</v>
      </c>
      <c r="D349" s="684">
        <v>2</v>
      </c>
      <c r="E349" s="684">
        <v>3</v>
      </c>
      <c r="F349" t="s">
        <v>21</v>
      </c>
      <c r="G349" s="684">
        <v>1</v>
      </c>
      <c r="H349" s="684">
        <v>42.28</v>
      </c>
      <c r="I349" t="s">
        <v>700</v>
      </c>
    </row>
    <row r="350" spans="1:9">
      <c r="A350" s="177">
        <v>45108</v>
      </c>
      <c r="B350" t="s">
        <v>583</v>
      </c>
      <c r="C350" t="s">
        <v>575</v>
      </c>
      <c r="D350" s="684">
        <v>2</v>
      </c>
      <c r="E350" s="684">
        <v>4</v>
      </c>
      <c r="F350" t="s">
        <v>16</v>
      </c>
      <c r="G350" s="684">
        <v>1</v>
      </c>
      <c r="H350" s="684">
        <v>48.78</v>
      </c>
      <c r="I350" t="s">
        <v>700</v>
      </c>
    </row>
    <row r="351" spans="1:9">
      <c r="A351" s="177">
        <v>45108</v>
      </c>
      <c r="B351" t="s">
        <v>583</v>
      </c>
      <c r="C351" t="s">
        <v>575</v>
      </c>
      <c r="D351" s="684">
        <v>2</v>
      </c>
      <c r="E351" s="684">
        <v>4</v>
      </c>
      <c r="F351" t="s">
        <v>17</v>
      </c>
      <c r="G351" s="684">
        <v>1.0789</v>
      </c>
      <c r="H351" s="684">
        <v>52.63</v>
      </c>
      <c r="I351" t="s">
        <v>700</v>
      </c>
    </row>
    <row r="352" spans="1:9">
      <c r="A352" s="177">
        <v>45108</v>
      </c>
      <c r="B352" t="s">
        <v>583</v>
      </c>
      <c r="C352" t="s">
        <v>575</v>
      </c>
      <c r="D352" s="684">
        <v>2</v>
      </c>
      <c r="E352" s="684">
        <v>4</v>
      </c>
      <c r="F352" t="s">
        <v>18</v>
      </c>
      <c r="G352" s="684">
        <v>1</v>
      </c>
      <c r="H352" s="684">
        <v>48.78</v>
      </c>
      <c r="I352" t="s">
        <v>700</v>
      </c>
    </row>
    <row r="353" spans="1:9">
      <c r="A353" s="177">
        <v>45108</v>
      </c>
      <c r="B353" t="s">
        <v>583</v>
      </c>
      <c r="C353" t="s">
        <v>575</v>
      </c>
      <c r="D353" s="684">
        <v>2</v>
      </c>
      <c r="E353" s="684">
        <v>4</v>
      </c>
      <c r="F353" t="s">
        <v>19</v>
      </c>
      <c r="G353" s="684">
        <v>1</v>
      </c>
      <c r="H353" s="684">
        <v>48.78</v>
      </c>
      <c r="I353" t="s">
        <v>700</v>
      </c>
    </row>
    <row r="354" spans="1:9">
      <c r="A354" s="177">
        <v>45108</v>
      </c>
      <c r="B354" t="s">
        <v>583</v>
      </c>
      <c r="C354" t="s">
        <v>575</v>
      </c>
      <c r="D354" s="684">
        <v>2</v>
      </c>
      <c r="E354" s="684">
        <v>4</v>
      </c>
      <c r="F354" t="s">
        <v>20</v>
      </c>
      <c r="G354" s="684">
        <v>1.0629</v>
      </c>
      <c r="H354" s="684">
        <v>51.85</v>
      </c>
      <c r="I354" t="s">
        <v>700</v>
      </c>
    </row>
    <row r="355" spans="1:9">
      <c r="A355" s="177">
        <v>45108</v>
      </c>
      <c r="B355" t="s">
        <v>583</v>
      </c>
      <c r="C355" t="s">
        <v>575</v>
      </c>
      <c r="D355" s="684">
        <v>2</v>
      </c>
      <c r="E355" s="684">
        <v>4</v>
      </c>
      <c r="F355" t="s">
        <v>21</v>
      </c>
      <c r="G355" s="684">
        <v>1</v>
      </c>
      <c r="H355" s="684">
        <v>48.78</v>
      </c>
      <c r="I355" t="s">
        <v>700</v>
      </c>
    </row>
    <row r="356" spans="1:9">
      <c r="A356" s="177">
        <v>45108</v>
      </c>
      <c r="B356" t="s">
        <v>584</v>
      </c>
      <c r="C356" t="s">
        <v>575</v>
      </c>
      <c r="D356" s="684">
        <v>2</v>
      </c>
      <c r="E356" s="684">
        <v>5</v>
      </c>
      <c r="F356" t="s">
        <v>16</v>
      </c>
      <c r="G356" s="684">
        <v>1</v>
      </c>
      <c r="H356" s="684">
        <v>54.56</v>
      </c>
      <c r="I356" t="s">
        <v>700</v>
      </c>
    </row>
    <row r="357" spans="1:9">
      <c r="A357" s="177">
        <v>45108</v>
      </c>
      <c r="B357" t="s">
        <v>584</v>
      </c>
      <c r="C357" t="s">
        <v>575</v>
      </c>
      <c r="D357" s="684">
        <v>2</v>
      </c>
      <c r="E357" s="684">
        <v>5</v>
      </c>
      <c r="F357" t="s">
        <v>17</v>
      </c>
      <c r="G357" s="684">
        <v>1.0789</v>
      </c>
      <c r="H357" s="684">
        <v>58.86</v>
      </c>
      <c r="I357" t="s">
        <v>700</v>
      </c>
    </row>
    <row r="358" spans="1:9">
      <c r="A358" s="177">
        <v>45108</v>
      </c>
      <c r="B358" t="s">
        <v>584</v>
      </c>
      <c r="C358" t="s">
        <v>575</v>
      </c>
      <c r="D358" s="684">
        <v>2</v>
      </c>
      <c r="E358" s="684">
        <v>5</v>
      </c>
      <c r="F358" t="s">
        <v>18</v>
      </c>
      <c r="G358" s="684">
        <v>1</v>
      </c>
      <c r="H358" s="684">
        <v>54.56</v>
      </c>
      <c r="I358" t="s">
        <v>700</v>
      </c>
    </row>
    <row r="359" spans="1:9">
      <c r="A359" s="177">
        <v>45108</v>
      </c>
      <c r="B359" t="s">
        <v>584</v>
      </c>
      <c r="C359" t="s">
        <v>575</v>
      </c>
      <c r="D359" s="684">
        <v>2</v>
      </c>
      <c r="E359" s="684">
        <v>5</v>
      </c>
      <c r="F359" t="s">
        <v>19</v>
      </c>
      <c r="G359" s="684">
        <v>1</v>
      </c>
      <c r="H359" s="684">
        <v>54.56</v>
      </c>
      <c r="I359" t="s">
        <v>700</v>
      </c>
    </row>
    <row r="360" spans="1:9">
      <c r="A360" s="177">
        <v>45108</v>
      </c>
      <c r="B360" t="s">
        <v>584</v>
      </c>
      <c r="C360" t="s">
        <v>575</v>
      </c>
      <c r="D360" s="684">
        <v>2</v>
      </c>
      <c r="E360" s="684">
        <v>5</v>
      </c>
      <c r="F360" t="s">
        <v>20</v>
      </c>
      <c r="G360" s="684">
        <v>1.0629</v>
      </c>
      <c r="H360" s="684">
        <v>57.99</v>
      </c>
      <c r="I360" t="s">
        <v>700</v>
      </c>
    </row>
    <row r="361" spans="1:9">
      <c r="A361" s="177">
        <v>45108</v>
      </c>
      <c r="B361" t="s">
        <v>584</v>
      </c>
      <c r="C361" t="s">
        <v>575</v>
      </c>
      <c r="D361" s="684">
        <v>2</v>
      </c>
      <c r="E361" s="684">
        <v>5</v>
      </c>
      <c r="F361" t="s">
        <v>21</v>
      </c>
      <c r="G361" s="684">
        <v>1</v>
      </c>
      <c r="H361" s="684">
        <v>54.56</v>
      </c>
      <c r="I361" t="s">
        <v>700</v>
      </c>
    </row>
    <row r="362" spans="1:9">
      <c r="A362" s="177">
        <v>45108</v>
      </c>
      <c r="B362" t="s">
        <v>585</v>
      </c>
      <c r="C362" t="s">
        <v>575</v>
      </c>
      <c r="D362" s="684">
        <v>3</v>
      </c>
      <c r="E362" s="684">
        <v>1</v>
      </c>
      <c r="F362" t="s">
        <v>16</v>
      </c>
      <c r="G362" s="684">
        <v>1</v>
      </c>
      <c r="H362" s="684">
        <v>45.32</v>
      </c>
      <c r="I362" t="s">
        <v>700</v>
      </c>
    </row>
    <row r="363" spans="1:9">
      <c r="A363" s="177">
        <v>45108</v>
      </c>
      <c r="B363" t="s">
        <v>585</v>
      </c>
      <c r="C363" t="s">
        <v>575</v>
      </c>
      <c r="D363" s="684">
        <v>3</v>
      </c>
      <c r="E363" s="684">
        <v>1</v>
      </c>
      <c r="F363" t="s">
        <v>17</v>
      </c>
      <c r="G363" s="684">
        <v>1.0789</v>
      </c>
      <c r="H363" s="684">
        <v>48.9</v>
      </c>
      <c r="I363" t="s">
        <v>700</v>
      </c>
    </row>
    <row r="364" spans="1:9">
      <c r="A364" s="177">
        <v>45108</v>
      </c>
      <c r="B364" t="s">
        <v>585</v>
      </c>
      <c r="C364" t="s">
        <v>575</v>
      </c>
      <c r="D364" s="684">
        <v>3</v>
      </c>
      <c r="E364" s="684">
        <v>1</v>
      </c>
      <c r="F364" t="s">
        <v>18</v>
      </c>
      <c r="G364" s="684">
        <v>1</v>
      </c>
      <c r="H364" s="684">
        <v>45.32</v>
      </c>
      <c r="I364" t="s">
        <v>700</v>
      </c>
    </row>
    <row r="365" spans="1:9">
      <c r="A365" s="177">
        <v>45108</v>
      </c>
      <c r="B365" t="s">
        <v>585</v>
      </c>
      <c r="C365" t="s">
        <v>575</v>
      </c>
      <c r="D365" s="684">
        <v>3</v>
      </c>
      <c r="E365" s="684">
        <v>1</v>
      </c>
      <c r="F365" t="s">
        <v>19</v>
      </c>
      <c r="G365" s="684">
        <v>1</v>
      </c>
      <c r="H365" s="684">
        <v>45.32</v>
      </c>
      <c r="I365" t="s">
        <v>700</v>
      </c>
    </row>
    <row r="366" spans="1:9">
      <c r="A366" s="177">
        <v>45108</v>
      </c>
      <c r="B366" t="s">
        <v>585</v>
      </c>
      <c r="C366" t="s">
        <v>575</v>
      </c>
      <c r="D366" s="684">
        <v>3</v>
      </c>
      <c r="E366" s="684">
        <v>1</v>
      </c>
      <c r="F366" t="s">
        <v>20</v>
      </c>
      <c r="G366" s="684">
        <v>1.0629</v>
      </c>
      <c r="H366" s="684">
        <v>48.17</v>
      </c>
      <c r="I366" t="s">
        <v>700</v>
      </c>
    </row>
    <row r="367" spans="1:9">
      <c r="A367" s="177">
        <v>45108</v>
      </c>
      <c r="B367" t="s">
        <v>585</v>
      </c>
      <c r="C367" t="s">
        <v>575</v>
      </c>
      <c r="D367" s="684">
        <v>3</v>
      </c>
      <c r="E367" s="684">
        <v>1</v>
      </c>
      <c r="F367" t="s">
        <v>21</v>
      </c>
      <c r="G367" s="684">
        <v>1</v>
      </c>
      <c r="H367" s="684">
        <v>45.32</v>
      </c>
      <c r="I367" t="s">
        <v>700</v>
      </c>
    </row>
    <row r="368" spans="1:9">
      <c r="A368" s="177">
        <v>45108</v>
      </c>
      <c r="B368" t="s">
        <v>586</v>
      </c>
      <c r="C368" t="s">
        <v>575</v>
      </c>
      <c r="D368" s="684">
        <v>3</v>
      </c>
      <c r="E368" s="684">
        <v>2</v>
      </c>
      <c r="F368" t="s">
        <v>16</v>
      </c>
      <c r="G368" s="684">
        <v>1</v>
      </c>
      <c r="H368" s="684">
        <v>48.34</v>
      </c>
      <c r="I368" t="s">
        <v>700</v>
      </c>
    </row>
    <row r="369" spans="1:9">
      <c r="A369" s="177">
        <v>45108</v>
      </c>
      <c r="B369" t="s">
        <v>586</v>
      </c>
      <c r="C369" t="s">
        <v>575</v>
      </c>
      <c r="D369" s="684">
        <v>3</v>
      </c>
      <c r="E369" s="684">
        <v>2</v>
      </c>
      <c r="F369" t="s">
        <v>17</v>
      </c>
      <c r="G369" s="684">
        <v>1.0789</v>
      </c>
      <c r="H369" s="684">
        <v>52.15</v>
      </c>
      <c r="I369" t="s">
        <v>700</v>
      </c>
    </row>
    <row r="370" spans="1:9">
      <c r="A370" s="177">
        <v>45108</v>
      </c>
      <c r="B370" t="s">
        <v>586</v>
      </c>
      <c r="C370" t="s">
        <v>575</v>
      </c>
      <c r="D370" s="684">
        <v>3</v>
      </c>
      <c r="E370" s="684">
        <v>2</v>
      </c>
      <c r="F370" t="s">
        <v>18</v>
      </c>
      <c r="G370" s="684">
        <v>1</v>
      </c>
      <c r="H370" s="684">
        <v>48.34</v>
      </c>
      <c r="I370" t="s">
        <v>700</v>
      </c>
    </row>
    <row r="371" spans="1:9">
      <c r="A371" s="177">
        <v>45108</v>
      </c>
      <c r="B371" t="s">
        <v>586</v>
      </c>
      <c r="C371" t="s">
        <v>575</v>
      </c>
      <c r="D371" s="684">
        <v>3</v>
      </c>
      <c r="E371" s="684">
        <v>2</v>
      </c>
      <c r="F371" t="s">
        <v>19</v>
      </c>
      <c r="G371" s="684">
        <v>1</v>
      </c>
      <c r="H371" s="684">
        <v>48.34</v>
      </c>
      <c r="I371" t="s">
        <v>700</v>
      </c>
    </row>
    <row r="372" spans="1:9">
      <c r="A372" s="177">
        <v>45108</v>
      </c>
      <c r="B372" t="s">
        <v>586</v>
      </c>
      <c r="C372" t="s">
        <v>575</v>
      </c>
      <c r="D372" s="684">
        <v>3</v>
      </c>
      <c r="E372" s="684">
        <v>2</v>
      </c>
      <c r="F372" t="s">
        <v>20</v>
      </c>
      <c r="G372" s="684">
        <v>1.0629</v>
      </c>
      <c r="H372" s="684">
        <v>51.38</v>
      </c>
      <c r="I372" t="s">
        <v>700</v>
      </c>
    </row>
    <row r="373" spans="1:9">
      <c r="A373" s="177">
        <v>45108</v>
      </c>
      <c r="B373" t="s">
        <v>586</v>
      </c>
      <c r="C373" t="s">
        <v>575</v>
      </c>
      <c r="D373" s="684">
        <v>3</v>
      </c>
      <c r="E373" s="684">
        <v>2</v>
      </c>
      <c r="F373" t="s">
        <v>21</v>
      </c>
      <c r="G373" s="684">
        <v>1</v>
      </c>
      <c r="H373" s="684">
        <v>48.34</v>
      </c>
      <c r="I373" t="s">
        <v>700</v>
      </c>
    </row>
    <row r="374" spans="1:9">
      <c r="A374" s="177">
        <v>45108</v>
      </c>
      <c r="B374" t="s">
        <v>587</v>
      </c>
      <c r="C374" t="s">
        <v>575</v>
      </c>
      <c r="D374" s="684">
        <v>3</v>
      </c>
      <c r="E374" s="684">
        <v>3</v>
      </c>
      <c r="F374" t="s">
        <v>16</v>
      </c>
      <c r="G374" s="684">
        <v>1</v>
      </c>
      <c r="H374" s="684">
        <v>53.2</v>
      </c>
      <c r="I374" t="s">
        <v>700</v>
      </c>
    </row>
    <row r="375" spans="1:9">
      <c r="A375" s="177">
        <v>45108</v>
      </c>
      <c r="B375" t="s">
        <v>587</v>
      </c>
      <c r="C375" t="s">
        <v>575</v>
      </c>
      <c r="D375" s="684">
        <v>3</v>
      </c>
      <c r="E375" s="684">
        <v>3</v>
      </c>
      <c r="F375" t="s">
        <v>17</v>
      </c>
      <c r="G375" s="684">
        <v>1.0789</v>
      </c>
      <c r="H375" s="684">
        <v>57.4</v>
      </c>
      <c r="I375" t="s">
        <v>700</v>
      </c>
    </row>
    <row r="376" spans="1:9">
      <c r="A376" s="177">
        <v>45108</v>
      </c>
      <c r="B376" t="s">
        <v>587</v>
      </c>
      <c r="C376" t="s">
        <v>575</v>
      </c>
      <c r="D376" s="684">
        <v>3</v>
      </c>
      <c r="E376" s="684">
        <v>3</v>
      </c>
      <c r="F376" t="s">
        <v>18</v>
      </c>
      <c r="G376" s="684">
        <v>1</v>
      </c>
      <c r="H376" s="684">
        <v>53.2</v>
      </c>
      <c r="I376" t="s">
        <v>700</v>
      </c>
    </row>
    <row r="377" spans="1:9">
      <c r="A377" s="177">
        <v>45108</v>
      </c>
      <c r="B377" t="s">
        <v>587</v>
      </c>
      <c r="C377" t="s">
        <v>575</v>
      </c>
      <c r="D377" s="684">
        <v>3</v>
      </c>
      <c r="E377" s="684">
        <v>3</v>
      </c>
      <c r="F377" t="s">
        <v>19</v>
      </c>
      <c r="G377" s="684">
        <v>1</v>
      </c>
      <c r="H377" s="684">
        <v>53.2</v>
      </c>
      <c r="I377" t="s">
        <v>700</v>
      </c>
    </row>
    <row r="378" spans="1:9">
      <c r="A378" s="177">
        <v>45108</v>
      </c>
      <c r="B378" t="s">
        <v>587</v>
      </c>
      <c r="C378" t="s">
        <v>575</v>
      </c>
      <c r="D378" s="684">
        <v>3</v>
      </c>
      <c r="E378" s="684">
        <v>3</v>
      </c>
      <c r="F378" t="s">
        <v>20</v>
      </c>
      <c r="G378" s="684">
        <v>1.0629</v>
      </c>
      <c r="H378" s="684">
        <v>56.55</v>
      </c>
      <c r="I378" t="s">
        <v>700</v>
      </c>
    </row>
    <row r="379" spans="1:9">
      <c r="A379" s="177">
        <v>45108</v>
      </c>
      <c r="B379" t="s">
        <v>587</v>
      </c>
      <c r="C379" t="s">
        <v>575</v>
      </c>
      <c r="D379" s="684">
        <v>3</v>
      </c>
      <c r="E379" s="684">
        <v>3</v>
      </c>
      <c r="F379" t="s">
        <v>21</v>
      </c>
      <c r="G379" s="684">
        <v>1</v>
      </c>
      <c r="H379" s="684">
        <v>53.2</v>
      </c>
      <c r="I379" t="s">
        <v>700</v>
      </c>
    </row>
    <row r="380" spans="1:9">
      <c r="A380" s="177">
        <v>45108</v>
      </c>
      <c r="B380" t="s">
        <v>588</v>
      </c>
      <c r="C380" t="s">
        <v>575</v>
      </c>
      <c r="D380" s="684">
        <v>3</v>
      </c>
      <c r="E380" s="684">
        <v>4</v>
      </c>
      <c r="F380" t="s">
        <v>16</v>
      </c>
      <c r="G380" s="684">
        <v>1</v>
      </c>
      <c r="H380" s="684">
        <v>59.72</v>
      </c>
      <c r="I380" t="s">
        <v>700</v>
      </c>
    </row>
    <row r="381" spans="1:9">
      <c r="A381" s="177">
        <v>45108</v>
      </c>
      <c r="B381" t="s">
        <v>588</v>
      </c>
      <c r="C381" t="s">
        <v>575</v>
      </c>
      <c r="D381" s="684">
        <v>3</v>
      </c>
      <c r="E381" s="684">
        <v>4</v>
      </c>
      <c r="F381" t="s">
        <v>17</v>
      </c>
      <c r="G381" s="684">
        <v>1.0789</v>
      </c>
      <c r="H381" s="684">
        <v>64.430000000000007</v>
      </c>
      <c r="I381" t="s">
        <v>700</v>
      </c>
    </row>
    <row r="382" spans="1:9">
      <c r="A382" s="177">
        <v>45108</v>
      </c>
      <c r="B382" t="s">
        <v>588</v>
      </c>
      <c r="C382" t="s">
        <v>575</v>
      </c>
      <c r="D382" s="684">
        <v>3</v>
      </c>
      <c r="E382" s="684">
        <v>4</v>
      </c>
      <c r="F382" t="s">
        <v>18</v>
      </c>
      <c r="G382" s="684">
        <v>1</v>
      </c>
      <c r="H382" s="684">
        <v>59.72</v>
      </c>
      <c r="I382" t="s">
        <v>700</v>
      </c>
    </row>
    <row r="383" spans="1:9">
      <c r="A383" s="177">
        <v>45108</v>
      </c>
      <c r="B383" t="s">
        <v>588</v>
      </c>
      <c r="C383" t="s">
        <v>575</v>
      </c>
      <c r="D383" s="684">
        <v>3</v>
      </c>
      <c r="E383" s="684">
        <v>4</v>
      </c>
      <c r="F383" t="s">
        <v>19</v>
      </c>
      <c r="G383" s="684">
        <v>1</v>
      </c>
      <c r="H383" s="684">
        <v>59.72</v>
      </c>
      <c r="I383" t="s">
        <v>700</v>
      </c>
    </row>
    <row r="384" spans="1:9">
      <c r="A384" s="177">
        <v>45108</v>
      </c>
      <c r="B384" t="s">
        <v>588</v>
      </c>
      <c r="C384" t="s">
        <v>575</v>
      </c>
      <c r="D384" s="684">
        <v>3</v>
      </c>
      <c r="E384" s="684">
        <v>4</v>
      </c>
      <c r="F384" t="s">
        <v>20</v>
      </c>
      <c r="G384" s="684">
        <v>1.0629</v>
      </c>
      <c r="H384" s="684">
        <v>63.48</v>
      </c>
      <c r="I384" t="s">
        <v>700</v>
      </c>
    </row>
    <row r="385" spans="1:9">
      <c r="A385" s="177">
        <v>45108</v>
      </c>
      <c r="B385" t="s">
        <v>588</v>
      </c>
      <c r="C385" t="s">
        <v>575</v>
      </c>
      <c r="D385" s="684">
        <v>3</v>
      </c>
      <c r="E385" s="684">
        <v>4</v>
      </c>
      <c r="F385" t="s">
        <v>21</v>
      </c>
      <c r="G385" s="684">
        <v>1</v>
      </c>
      <c r="H385" s="684">
        <v>59.72</v>
      </c>
      <c r="I385" t="s">
        <v>700</v>
      </c>
    </row>
    <row r="386" spans="1:9">
      <c r="A386" s="177">
        <v>45108</v>
      </c>
      <c r="B386" t="s">
        <v>589</v>
      </c>
      <c r="C386" t="s">
        <v>575</v>
      </c>
      <c r="D386" s="684">
        <v>3</v>
      </c>
      <c r="E386" s="684">
        <v>5</v>
      </c>
      <c r="F386" t="s">
        <v>16</v>
      </c>
      <c r="G386" s="684">
        <v>1</v>
      </c>
      <c r="H386" s="684">
        <v>65.489999999999995</v>
      </c>
      <c r="I386" t="s">
        <v>700</v>
      </c>
    </row>
    <row r="387" spans="1:9">
      <c r="A387" s="177">
        <v>45108</v>
      </c>
      <c r="B387" t="s">
        <v>589</v>
      </c>
      <c r="C387" t="s">
        <v>575</v>
      </c>
      <c r="D387" s="684">
        <v>3</v>
      </c>
      <c r="E387" s="684">
        <v>5</v>
      </c>
      <c r="F387" t="s">
        <v>17</v>
      </c>
      <c r="G387" s="684">
        <v>1.0789</v>
      </c>
      <c r="H387" s="684">
        <v>70.66</v>
      </c>
      <c r="I387" t="s">
        <v>700</v>
      </c>
    </row>
    <row r="388" spans="1:9">
      <c r="A388" s="177">
        <v>45108</v>
      </c>
      <c r="B388" t="s">
        <v>589</v>
      </c>
      <c r="C388" t="s">
        <v>575</v>
      </c>
      <c r="D388" s="684">
        <v>3</v>
      </c>
      <c r="E388" s="684">
        <v>5</v>
      </c>
      <c r="F388" t="s">
        <v>18</v>
      </c>
      <c r="G388" s="684">
        <v>1</v>
      </c>
      <c r="H388" s="684">
        <v>65.489999999999995</v>
      </c>
      <c r="I388" t="s">
        <v>700</v>
      </c>
    </row>
    <row r="389" spans="1:9">
      <c r="A389" s="177">
        <v>45108</v>
      </c>
      <c r="B389" t="s">
        <v>589</v>
      </c>
      <c r="C389" t="s">
        <v>575</v>
      </c>
      <c r="D389" s="684">
        <v>3</v>
      </c>
      <c r="E389" s="684">
        <v>5</v>
      </c>
      <c r="F389" t="s">
        <v>19</v>
      </c>
      <c r="G389" s="684">
        <v>1</v>
      </c>
      <c r="H389" s="684">
        <v>65.489999999999995</v>
      </c>
      <c r="I389" t="s">
        <v>700</v>
      </c>
    </row>
    <row r="390" spans="1:9">
      <c r="A390" s="177">
        <v>45108</v>
      </c>
      <c r="B390" t="s">
        <v>589</v>
      </c>
      <c r="C390" t="s">
        <v>575</v>
      </c>
      <c r="D390" s="684">
        <v>3</v>
      </c>
      <c r="E390" s="684">
        <v>5</v>
      </c>
      <c r="F390" t="s">
        <v>20</v>
      </c>
      <c r="G390" s="684">
        <v>1.0629</v>
      </c>
      <c r="H390" s="684">
        <v>69.61</v>
      </c>
      <c r="I390" t="s">
        <v>700</v>
      </c>
    </row>
    <row r="391" spans="1:9">
      <c r="A391" s="177">
        <v>45108</v>
      </c>
      <c r="B391" t="s">
        <v>589</v>
      </c>
      <c r="C391" t="s">
        <v>575</v>
      </c>
      <c r="D391" s="684">
        <v>3</v>
      </c>
      <c r="E391" s="684">
        <v>5</v>
      </c>
      <c r="F391" t="s">
        <v>21</v>
      </c>
      <c r="G391" s="684">
        <v>1</v>
      </c>
      <c r="H391" s="684">
        <v>65.489999999999995</v>
      </c>
      <c r="I391" t="s">
        <v>700</v>
      </c>
    </row>
    <row r="392" spans="1:9">
      <c r="A392" s="177">
        <v>45108</v>
      </c>
      <c r="B392" t="s">
        <v>590</v>
      </c>
      <c r="C392" t="s">
        <v>575</v>
      </c>
      <c r="D392" s="684">
        <v>4</v>
      </c>
      <c r="E392" s="684">
        <v>1</v>
      </c>
      <c r="F392" t="s">
        <v>16</v>
      </c>
      <c r="G392" s="684">
        <v>1</v>
      </c>
      <c r="H392" s="684">
        <v>56.54</v>
      </c>
      <c r="I392" t="s">
        <v>700</v>
      </c>
    </row>
    <row r="393" spans="1:9">
      <c r="A393" s="177">
        <v>45108</v>
      </c>
      <c r="B393" t="s">
        <v>590</v>
      </c>
      <c r="C393" t="s">
        <v>575</v>
      </c>
      <c r="D393" s="684">
        <v>4</v>
      </c>
      <c r="E393" s="684">
        <v>1</v>
      </c>
      <c r="F393" t="s">
        <v>17</v>
      </c>
      <c r="G393" s="684">
        <v>1.0789</v>
      </c>
      <c r="H393" s="684">
        <v>61</v>
      </c>
      <c r="I393" t="s">
        <v>700</v>
      </c>
    </row>
    <row r="394" spans="1:9">
      <c r="A394" s="177">
        <v>45108</v>
      </c>
      <c r="B394" t="s">
        <v>590</v>
      </c>
      <c r="C394" t="s">
        <v>575</v>
      </c>
      <c r="D394" s="684">
        <v>4</v>
      </c>
      <c r="E394" s="684">
        <v>1</v>
      </c>
      <c r="F394" t="s">
        <v>18</v>
      </c>
      <c r="G394" s="684">
        <v>1</v>
      </c>
      <c r="H394" s="684">
        <v>56.54</v>
      </c>
      <c r="I394" t="s">
        <v>700</v>
      </c>
    </row>
    <row r="395" spans="1:9">
      <c r="A395" s="177">
        <v>45108</v>
      </c>
      <c r="B395" t="s">
        <v>590</v>
      </c>
      <c r="C395" t="s">
        <v>575</v>
      </c>
      <c r="D395" s="684">
        <v>4</v>
      </c>
      <c r="E395" s="684">
        <v>1</v>
      </c>
      <c r="F395" t="s">
        <v>19</v>
      </c>
      <c r="G395" s="684">
        <v>1</v>
      </c>
      <c r="H395" s="684">
        <v>56.54</v>
      </c>
      <c r="I395" t="s">
        <v>700</v>
      </c>
    </row>
    <row r="396" spans="1:9">
      <c r="A396" s="177">
        <v>45108</v>
      </c>
      <c r="B396" t="s">
        <v>590</v>
      </c>
      <c r="C396" t="s">
        <v>575</v>
      </c>
      <c r="D396" s="684">
        <v>4</v>
      </c>
      <c r="E396" s="684">
        <v>1</v>
      </c>
      <c r="F396" t="s">
        <v>20</v>
      </c>
      <c r="G396" s="684">
        <v>1.0629</v>
      </c>
      <c r="H396" s="684">
        <v>60.1</v>
      </c>
      <c r="I396" t="s">
        <v>700</v>
      </c>
    </row>
    <row r="397" spans="1:9">
      <c r="A397" s="177">
        <v>45108</v>
      </c>
      <c r="B397" t="s">
        <v>590</v>
      </c>
      <c r="C397" t="s">
        <v>575</v>
      </c>
      <c r="D397" s="684">
        <v>4</v>
      </c>
      <c r="E397" s="684">
        <v>1</v>
      </c>
      <c r="F397" t="s">
        <v>21</v>
      </c>
      <c r="G397" s="684">
        <v>1</v>
      </c>
      <c r="H397" s="684">
        <v>56.54</v>
      </c>
      <c r="I397" t="s">
        <v>700</v>
      </c>
    </row>
    <row r="398" spans="1:9">
      <c r="A398" s="177">
        <v>45108</v>
      </c>
      <c r="B398" t="s">
        <v>591</v>
      </c>
      <c r="C398" t="s">
        <v>575</v>
      </c>
      <c r="D398" s="684">
        <v>4</v>
      </c>
      <c r="E398" s="684">
        <v>2</v>
      </c>
      <c r="F398" t="s">
        <v>16</v>
      </c>
      <c r="G398" s="684">
        <v>1</v>
      </c>
      <c r="H398" s="684">
        <v>59.56</v>
      </c>
      <c r="I398" t="s">
        <v>700</v>
      </c>
    </row>
    <row r="399" spans="1:9">
      <c r="A399" s="177">
        <v>45108</v>
      </c>
      <c r="B399" t="s">
        <v>591</v>
      </c>
      <c r="C399" t="s">
        <v>575</v>
      </c>
      <c r="D399" s="684">
        <v>4</v>
      </c>
      <c r="E399" s="684">
        <v>2</v>
      </c>
      <c r="F399" t="s">
        <v>17</v>
      </c>
      <c r="G399" s="684">
        <v>1.0789</v>
      </c>
      <c r="H399" s="684">
        <v>64.260000000000005</v>
      </c>
      <c r="I399" t="s">
        <v>700</v>
      </c>
    </row>
    <row r="400" spans="1:9">
      <c r="A400" s="177">
        <v>45108</v>
      </c>
      <c r="B400" t="s">
        <v>591</v>
      </c>
      <c r="C400" t="s">
        <v>575</v>
      </c>
      <c r="D400" s="684">
        <v>4</v>
      </c>
      <c r="E400" s="684">
        <v>2</v>
      </c>
      <c r="F400" t="s">
        <v>18</v>
      </c>
      <c r="G400" s="684">
        <v>1</v>
      </c>
      <c r="H400" s="684">
        <v>59.56</v>
      </c>
      <c r="I400" t="s">
        <v>700</v>
      </c>
    </row>
    <row r="401" spans="1:9">
      <c r="A401" s="177">
        <v>45108</v>
      </c>
      <c r="B401" t="s">
        <v>591</v>
      </c>
      <c r="C401" t="s">
        <v>575</v>
      </c>
      <c r="D401" s="684">
        <v>4</v>
      </c>
      <c r="E401" s="684">
        <v>2</v>
      </c>
      <c r="F401" t="s">
        <v>19</v>
      </c>
      <c r="G401" s="684">
        <v>1</v>
      </c>
      <c r="H401" s="684">
        <v>59.56</v>
      </c>
      <c r="I401" t="s">
        <v>700</v>
      </c>
    </row>
    <row r="402" spans="1:9">
      <c r="A402" s="177">
        <v>45108</v>
      </c>
      <c r="B402" t="s">
        <v>591</v>
      </c>
      <c r="C402" t="s">
        <v>575</v>
      </c>
      <c r="D402" s="684">
        <v>4</v>
      </c>
      <c r="E402" s="684">
        <v>2</v>
      </c>
      <c r="F402" t="s">
        <v>20</v>
      </c>
      <c r="G402" s="684">
        <v>1.0629</v>
      </c>
      <c r="H402" s="684">
        <v>63.31</v>
      </c>
      <c r="I402" t="s">
        <v>700</v>
      </c>
    </row>
    <row r="403" spans="1:9">
      <c r="A403" s="177">
        <v>45108</v>
      </c>
      <c r="B403" t="s">
        <v>591</v>
      </c>
      <c r="C403" t="s">
        <v>575</v>
      </c>
      <c r="D403" s="684">
        <v>4</v>
      </c>
      <c r="E403" s="684">
        <v>2</v>
      </c>
      <c r="F403" t="s">
        <v>21</v>
      </c>
      <c r="G403" s="684">
        <v>1</v>
      </c>
      <c r="H403" s="684">
        <v>59.56</v>
      </c>
      <c r="I403" t="s">
        <v>700</v>
      </c>
    </row>
    <row r="404" spans="1:9">
      <c r="A404" s="177">
        <v>45108</v>
      </c>
      <c r="B404" t="s">
        <v>592</v>
      </c>
      <c r="C404" t="s">
        <v>575</v>
      </c>
      <c r="D404" s="684">
        <v>4</v>
      </c>
      <c r="E404" s="684">
        <v>3</v>
      </c>
      <c r="F404" t="s">
        <v>16</v>
      </c>
      <c r="G404" s="684">
        <v>1</v>
      </c>
      <c r="H404" s="684">
        <v>64.42</v>
      </c>
      <c r="I404" t="s">
        <v>700</v>
      </c>
    </row>
    <row r="405" spans="1:9">
      <c r="A405" s="177">
        <v>45108</v>
      </c>
      <c r="B405" t="s">
        <v>592</v>
      </c>
      <c r="C405" t="s">
        <v>575</v>
      </c>
      <c r="D405" s="684">
        <v>4</v>
      </c>
      <c r="E405" s="684">
        <v>3</v>
      </c>
      <c r="F405" t="s">
        <v>17</v>
      </c>
      <c r="G405" s="684">
        <v>1.0789</v>
      </c>
      <c r="H405" s="684">
        <v>69.5</v>
      </c>
      <c r="I405" t="s">
        <v>700</v>
      </c>
    </row>
    <row r="406" spans="1:9">
      <c r="A406" s="177">
        <v>45108</v>
      </c>
      <c r="B406" t="s">
        <v>592</v>
      </c>
      <c r="C406" t="s">
        <v>575</v>
      </c>
      <c r="D406" s="684">
        <v>4</v>
      </c>
      <c r="E406" s="684">
        <v>3</v>
      </c>
      <c r="F406" t="s">
        <v>18</v>
      </c>
      <c r="G406" s="684">
        <v>1</v>
      </c>
      <c r="H406" s="684">
        <v>64.42</v>
      </c>
      <c r="I406" t="s">
        <v>700</v>
      </c>
    </row>
    <row r="407" spans="1:9">
      <c r="A407" s="177">
        <v>45108</v>
      </c>
      <c r="B407" t="s">
        <v>592</v>
      </c>
      <c r="C407" t="s">
        <v>575</v>
      </c>
      <c r="D407" s="684">
        <v>4</v>
      </c>
      <c r="E407" s="684">
        <v>3</v>
      </c>
      <c r="F407" t="s">
        <v>19</v>
      </c>
      <c r="G407" s="684">
        <v>1</v>
      </c>
      <c r="H407" s="684">
        <v>64.42</v>
      </c>
      <c r="I407" t="s">
        <v>700</v>
      </c>
    </row>
    <row r="408" spans="1:9">
      <c r="A408" s="177">
        <v>45108</v>
      </c>
      <c r="B408" t="s">
        <v>592</v>
      </c>
      <c r="C408" t="s">
        <v>575</v>
      </c>
      <c r="D408" s="684">
        <v>4</v>
      </c>
      <c r="E408" s="684">
        <v>3</v>
      </c>
      <c r="F408" t="s">
        <v>20</v>
      </c>
      <c r="G408" s="684">
        <v>1.0629</v>
      </c>
      <c r="H408" s="684">
        <v>68.47</v>
      </c>
      <c r="I408" t="s">
        <v>700</v>
      </c>
    </row>
    <row r="409" spans="1:9">
      <c r="A409" s="177">
        <v>45108</v>
      </c>
      <c r="B409" t="s">
        <v>592</v>
      </c>
      <c r="C409" t="s">
        <v>575</v>
      </c>
      <c r="D409" s="684">
        <v>4</v>
      </c>
      <c r="E409" s="684">
        <v>3</v>
      </c>
      <c r="F409" t="s">
        <v>21</v>
      </c>
      <c r="G409" s="684">
        <v>1</v>
      </c>
      <c r="H409" s="684">
        <v>64.42</v>
      </c>
      <c r="I409" t="s">
        <v>700</v>
      </c>
    </row>
    <row r="410" spans="1:9">
      <c r="A410" s="177">
        <v>45108</v>
      </c>
      <c r="B410" t="s">
        <v>593</v>
      </c>
      <c r="C410" t="s">
        <v>575</v>
      </c>
      <c r="D410" s="684">
        <v>4</v>
      </c>
      <c r="E410" s="684">
        <v>4</v>
      </c>
      <c r="F410" t="s">
        <v>16</v>
      </c>
      <c r="G410" s="684">
        <v>1</v>
      </c>
      <c r="H410" s="684">
        <v>70.98</v>
      </c>
      <c r="I410" t="s">
        <v>700</v>
      </c>
    </row>
    <row r="411" spans="1:9">
      <c r="A411" s="177">
        <v>45108</v>
      </c>
      <c r="B411" t="s">
        <v>593</v>
      </c>
      <c r="C411" t="s">
        <v>575</v>
      </c>
      <c r="D411" s="684">
        <v>4</v>
      </c>
      <c r="E411" s="684">
        <v>4</v>
      </c>
      <c r="F411" t="s">
        <v>17</v>
      </c>
      <c r="G411" s="684">
        <v>1.0789</v>
      </c>
      <c r="H411" s="684">
        <v>76.58</v>
      </c>
      <c r="I411" t="s">
        <v>700</v>
      </c>
    </row>
    <row r="412" spans="1:9">
      <c r="A412" s="177">
        <v>45108</v>
      </c>
      <c r="B412" t="s">
        <v>593</v>
      </c>
      <c r="C412" t="s">
        <v>575</v>
      </c>
      <c r="D412" s="684">
        <v>4</v>
      </c>
      <c r="E412" s="684">
        <v>4</v>
      </c>
      <c r="F412" t="s">
        <v>18</v>
      </c>
      <c r="G412" s="684">
        <v>1</v>
      </c>
      <c r="H412" s="684">
        <v>70.98</v>
      </c>
      <c r="I412" t="s">
        <v>700</v>
      </c>
    </row>
    <row r="413" spans="1:9">
      <c r="A413" s="177">
        <v>45108</v>
      </c>
      <c r="B413" t="s">
        <v>593</v>
      </c>
      <c r="C413" t="s">
        <v>575</v>
      </c>
      <c r="D413" s="684">
        <v>4</v>
      </c>
      <c r="E413" s="684">
        <v>4</v>
      </c>
      <c r="F413" t="s">
        <v>19</v>
      </c>
      <c r="G413" s="684">
        <v>1</v>
      </c>
      <c r="H413" s="684">
        <v>70.98</v>
      </c>
      <c r="I413" t="s">
        <v>700</v>
      </c>
    </row>
    <row r="414" spans="1:9">
      <c r="A414" s="177">
        <v>45108</v>
      </c>
      <c r="B414" t="s">
        <v>593</v>
      </c>
      <c r="C414" t="s">
        <v>575</v>
      </c>
      <c r="D414" s="684">
        <v>4</v>
      </c>
      <c r="E414" s="684">
        <v>4</v>
      </c>
      <c r="F414" t="s">
        <v>20</v>
      </c>
      <c r="G414" s="684">
        <v>1.0629</v>
      </c>
      <c r="H414" s="684">
        <v>75.44</v>
      </c>
      <c r="I414" t="s">
        <v>700</v>
      </c>
    </row>
    <row r="415" spans="1:9">
      <c r="A415" s="177">
        <v>45108</v>
      </c>
      <c r="B415" t="s">
        <v>593</v>
      </c>
      <c r="C415" t="s">
        <v>575</v>
      </c>
      <c r="D415" s="684">
        <v>4</v>
      </c>
      <c r="E415" s="684">
        <v>4</v>
      </c>
      <c r="F415" t="s">
        <v>21</v>
      </c>
      <c r="G415" s="684">
        <v>1</v>
      </c>
      <c r="H415" s="684">
        <v>70.98</v>
      </c>
      <c r="I415" t="s">
        <v>700</v>
      </c>
    </row>
    <row r="416" spans="1:9">
      <c r="A416" s="177">
        <v>45108</v>
      </c>
      <c r="B416" t="s">
        <v>594</v>
      </c>
      <c r="C416" t="s">
        <v>575</v>
      </c>
      <c r="D416" s="684">
        <v>4</v>
      </c>
      <c r="E416" s="684">
        <v>5</v>
      </c>
      <c r="F416" t="s">
        <v>16</v>
      </c>
      <c r="G416" s="684">
        <v>1</v>
      </c>
      <c r="H416" s="684">
        <v>76.72</v>
      </c>
      <c r="I416" t="s">
        <v>700</v>
      </c>
    </row>
    <row r="417" spans="1:9">
      <c r="A417" s="177">
        <v>45108</v>
      </c>
      <c r="B417" t="s">
        <v>594</v>
      </c>
      <c r="C417" t="s">
        <v>575</v>
      </c>
      <c r="D417" s="684">
        <v>4</v>
      </c>
      <c r="E417" s="684">
        <v>5</v>
      </c>
      <c r="F417" t="s">
        <v>17</v>
      </c>
      <c r="G417" s="684">
        <v>1.0789</v>
      </c>
      <c r="H417" s="684">
        <v>82.77</v>
      </c>
      <c r="I417" t="s">
        <v>700</v>
      </c>
    </row>
    <row r="418" spans="1:9">
      <c r="A418" s="177">
        <v>45108</v>
      </c>
      <c r="B418" t="s">
        <v>594</v>
      </c>
      <c r="C418" t="s">
        <v>575</v>
      </c>
      <c r="D418" s="684">
        <v>4</v>
      </c>
      <c r="E418" s="684">
        <v>5</v>
      </c>
      <c r="F418" t="s">
        <v>18</v>
      </c>
      <c r="G418" s="684">
        <v>1</v>
      </c>
      <c r="H418" s="684">
        <v>76.72</v>
      </c>
      <c r="I418" t="s">
        <v>700</v>
      </c>
    </row>
    <row r="419" spans="1:9">
      <c r="A419" s="177">
        <v>45108</v>
      </c>
      <c r="B419" t="s">
        <v>594</v>
      </c>
      <c r="C419" t="s">
        <v>575</v>
      </c>
      <c r="D419" s="684">
        <v>4</v>
      </c>
      <c r="E419" s="684">
        <v>5</v>
      </c>
      <c r="F419" t="s">
        <v>19</v>
      </c>
      <c r="G419" s="684">
        <v>1</v>
      </c>
      <c r="H419" s="684">
        <v>76.72</v>
      </c>
      <c r="I419" t="s">
        <v>700</v>
      </c>
    </row>
    <row r="420" spans="1:9">
      <c r="A420" s="177">
        <v>45108</v>
      </c>
      <c r="B420" t="s">
        <v>594</v>
      </c>
      <c r="C420" t="s">
        <v>575</v>
      </c>
      <c r="D420" s="684">
        <v>4</v>
      </c>
      <c r="E420" s="684">
        <v>5</v>
      </c>
      <c r="F420" t="s">
        <v>20</v>
      </c>
      <c r="G420" s="684">
        <v>1.0629</v>
      </c>
      <c r="H420" s="684">
        <v>81.55</v>
      </c>
      <c r="I420" t="s">
        <v>700</v>
      </c>
    </row>
    <row r="421" spans="1:9">
      <c r="A421" s="177">
        <v>45108</v>
      </c>
      <c r="B421" t="s">
        <v>594</v>
      </c>
      <c r="C421" t="s">
        <v>575</v>
      </c>
      <c r="D421" s="684">
        <v>4</v>
      </c>
      <c r="E421" s="684">
        <v>5</v>
      </c>
      <c r="F421" t="s">
        <v>21</v>
      </c>
      <c r="G421" s="684">
        <v>1</v>
      </c>
      <c r="H421" s="684">
        <v>76.72</v>
      </c>
      <c r="I421" t="s">
        <v>700</v>
      </c>
    </row>
    <row r="422" spans="1:9">
      <c r="A422" s="177">
        <v>45108</v>
      </c>
      <c r="B422" t="s">
        <v>595</v>
      </c>
      <c r="C422" t="s">
        <v>575</v>
      </c>
      <c r="D422" s="684">
        <v>5</v>
      </c>
      <c r="E422" s="684">
        <v>1</v>
      </c>
      <c r="F422" t="s">
        <v>16</v>
      </c>
      <c r="G422" s="684">
        <v>1</v>
      </c>
      <c r="H422" s="684">
        <v>78.739999999999995</v>
      </c>
      <c r="I422" t="s">
        <v>700</v>
      </c>
    </row>
    <row r="423" spans="1:9">
      <c r="A423" s="177">
        <v>45108</v>
      </c>
      <c r="B423" t="s">
        <v>595</v>
      </c>
      <c r="C423" t="s">
        <v>575</v>
      </c>
      <c r="D423" s="684">
        <v>5</v>
      </c>
      <c r="E423" s="684">
        <v>1</v>
      </c>
      <c r="F423" t="s">
        <v>17</v>
      </c>
      <c r="G423" s="684">
        <v>1.0789</v>
      </c>
      <c r="H423" s="684">
        <v>84.95</v>
      </c>
      <c r="I423" t="s">
        <v>700</v>
      </c>
    </row>
    <row r="424" spans="1:9">
      <c r="A424" s="177">
        <v>45108</v>
      </c>
      <c r="B424" t="s">
        <v>595</v>
      </c>
      <c r="C424" t="s">
        <v>575</v>
      </c>
      <c r="D424" s="684">
        <v>5</v>
      </c>
      <c r="E424" s="684">
        <v>1</v>
      </c>
      <c r="F424" t="s">
        <v>18</v>
      </c>
      <c r="G424" s="684">
        <v>1</v>
      </c>
      <c r="H424" s="684">
        <v>78.739999999999995</v>
      </c>
      <c r="I424" t="s">
        <v>700</v>
      </c>
    </row>
    <row r="425" spans="1:9">
      <c r="A425" s="177">
        <v>45108</v>
      </c>
      <c r="B425" t="s">
        <v>595</v>
      </c>
      <c r="C425" t="s">
        <v>575</v>
      </c>
      <c r="D425" s="684">
        <v>5</v>
      </c>
      <c r="E425" s="684">
        <v>1</v>
      </c>
      <c r="F425" t="s">
        <v>19</v>
      </c>
      <c r="G425" s="684">
        <v>1</v>
      </c>
      <c r="H425" s="684">
        <v>78.739999999999995</v>
      </c>
      <c r="I425" t="s">
        <v>700</v>
      </c>
    </row>
    <row r="426" spans="1:9">
      <c r="A426" s="177">
        <v>45108</v>
      </c>
      <c r="B426" t="s">
        <v>595</v>
      </c>
      <c r="C426" t="s">
        <v>575</v>
      </c>
      <c r="D426" s="684">
        <v>5</v>
      </c>
      <c r="E426" s="684">
        <v>1</v>
      </c>
      <c r="F426" t="s">
        <v>20</v>
      </c>
      <c r="G426" s="684">
        <v>1.0629</v>
      </c>
      <c r="H426" s="684">
        <v>83.69</v>
      </c>
      <c r="I426" t="s">
        <v>700</v>
      </c>
    </row>
    <row r="427" spans="1:9">
      <c r="A427" s="177">
        <v>45108</v>
      </c>
      <c r="B427" t="s">
        <v>595</v>
      </c>
      <c r="C427" t="s">
        <v>575</v>
      </c>
      <c r="D427" s="684">
        <v>5</v>
      </c>
      <c r="E427" s="684">
        <v>1</v>
      </c>
      <c r="F427" t="s">
        <v>21</v>
      </c>
      <c r="G427" s="684">
        <v>1</v>
      </c>
      <c r="H427" s="684">
        <v>78.739999999999995</v>
      </c>
      <c r="I427" t="s">
        <v>700</v>
      </c>
    </row>
    <row r="428" spans="1:9">
      <c r="A428" s="177">
        <v>45108</v>
      </c>
      <c r="B428" t="s">
        <v>596</v>
      </c>
      <c r="C428" t="s">
        <v>575</v>
      </c>
      <c r="D428" s="684">
        <v>5</v>
      </c>
      <c r="E428" s="684">
        <v>2</v>
      </c>
      <c r="F428" t="s">
        <v>16</v>
      </c>
      <c r="G428" s="684">
        <v>1</v>
      </c>
      <c r="H428" s="684">
        <v>81.73</v>
      </c>
      <c r="I428" t="s">
        <v>700</v>
      </c>
    </row>
    <row r="429" spans="1:9">
      <c r="A429" s="177">
        <v>45108</v>
      </c>
      <c r="B429" t="s">
        <v>596</v>
      </c>
      <c r="C429" t="s">
        <v>575</v>
      </c>
      <c r="D429" s="684">
        <v>5</v>
      </c>
      <c r="E429" s="684">
        <v>2</v>
      </c>
      <c r="F429" t="s">
        <v>17</v>
      </c>
      <c r="G429" s="684">
        <v>1.0789</v>
      </c>
      <c r="H429" s="684">
        <v>88.18</v>
      </c>
      <c r="I429" t="s">
        <v>700</v>
      </c>
    </row>
    <row r="430" spans="1:9">
      <c r="A430" s="177">
        <v>45108</v>
      </c>
      <c r="B430" t="s">
        <v>596</v>
      </c>
      <c r="C430" t="s">
        <v>575</v>
      </c>
      <c r="D430" s="684">
        <v>5</v>
      </c>
      <c r="E430" s="684">
        <v>2</v>
      </c>
      <c r="F430" t="s">
        <v>18</v>
      </c>
      <c r="G430" s="684">
        <v>1</v>
      </c>
      <c r="H430" s="684">
        <v>81.73</v>
      </c>
      <c r="I430" t="s">
        <v>700</v>
      </c>
    </row>
    <row r="431" spans="1:9">
      <c r="A431" s="177">
        <v>45108</v>
      </c>
      <c r="B431" t="s">
        <v>596</v>
      </c>
      <c r="C431" t="s">
        <v>575</v>
      </c>
      <c r="D431" s="684">
        <v>5</v>
      </c>
      <c r="E431" s="684">
        <v>2</v>
      </c>
      <c r="F431" t="s">
        <v>19</v>
      </c>
      <c r="G431" s="684">
        <v>1</v>
      </c>
      <c r="H431" s="684">
        <v>81.73</v>
      </c>
      <c r="I431" t="s">
        <v>700</v>
      </c>
    </row>
    <row r="432" spans="1:9">
      <c r="A432" s="177">
        <v>45108</v>
      </c>
      <c r="B432" t="s">
        <v>596</v>
      </c>
      <c r="C432" t="s">
        <v>575</v>
      </c>
      <c r="D432" s="684">
        <v>5</v>
      </c>
      <c r="E432" s="684">
        <v>2</v>
      </c>
      <c r="F432" t="s">
        <v>20</v>
      </c>
      <c r="G432" s="684">
        <v>1.0629</v>
      </c>
      <c r="H432" s="684">
        <v>86.87</v>
      </c>
      <c r="I432" t="s">
        <v>700</v>
      </c>
    </row>
    <row r="433" spans="1:9">
      <c r="A433" s="177">
        <v>45108</v>
      </c>
      <c r="B433" t="s">
        <v>596</v>
      </c>
      <c r="C433" t="s">
        <v>575</v>
      </c>
      <c r="D433" s="684">
        <v>5</v>
      </c>
      <c r="E433" s="684">
        <v>2</v>
      </c>
      <c r="F433" t="s">
        <v>21</v>
      </c>
      <c r="G433" s="684">
        <v>1</v>
      </c>
      <c r="H433" s="684">
        <v>81.73</v>
      </c>
      <c r="I433" t="s">
        <v>700</v>
      </c>
    </row>
    <row r="434" spans="1:9">
      <c r="A434" s="177">
        <v>45108</v>
      </c>
      <c r="B434" t="s">
        <v>597</v>
      </c>
      <c r="C434" t="s">
        <v>575</v>
      </c>
      <c r="D434" s="684">
        <v>5</v>
      </c>
      <c r="E434" s="684">
        <v>3</v>
      </c>
      <c r="F434" t="s">
        <v>16</v>
      </c>
      <c r="G434" s="684">
        <v>1</v>
      </c>
      <c r="H434" s="684">
        <v>86.58</v>
      </c>
      <c r="I434" t="s">
        <v>700</v>
      </c>
    </row>
    <row r="435" spans="1:9">
      <c r="A435" s="177">
        <v>45108</v>
      </c>
      <c r="B435" t="s">
        <v>597</v>
      </c>
      <c r="C435" t="s">
        <v>575</v>
      </c>
      <c r="D435" s="684">
        <v>5</v>
      </c>
      <c r="E435" s="684">
        <v>3</v>
      </c>
      <c r="F435" t="s">
        <v>17</v>
      </c>
      <c r="G435" s="684">
        <v>1.0789</v>
      </c>
      <c r="H435" s="684">
        <v>93.41</v>
      </c>
      <c r="I435" t="s">
        <v>700</v>
      </c>
    </row>
    <row r="436" spans="1:9">
      <c r="A436" s="177">
        <v>45108</v>
      </c>
      <c r="B436" t="s">
        <v>597</v>
      </c>
      <c r="C436" t="s">
        <v>575</v>
      </c>
      <c r="D436" s="684">
        <v>5</v>
      </c>
      <c r="E436" s="684">
        <v>3</v>
      </c>
      <c r="F436" t="s">
        <v>18</v>
      </c>
      <c r="G436" s="684">
        <v>1</v>
      </c>
      <c r="H436" s="684">
        <v>86.58</v>
      </c>
      <c r="I436" t="s">
        <v>700</v>
      </c>
    </row>
    <row r="437" spans="1:9">
      <c r="A437" s="177">
        <v>45108</v>
      </c>
      <c r="B437" t="s">
        <v>597</v>
      </c>
      <c r="C437" t="s">
        <v>575</v>
      </c>
      <c r="D437" s="684">
        <v>5</v>
      </c>
      <c r="E437" s="684">
        <v>3</v>
      </c>
      <c r="F437" t="s">
        <v>19</v>
      </c>
      <c r="G437" s="684">
        <v>1</v>
      </c>
      <c r="H437" s="684">
        <v>86.58</v>
      </c>
      <c r="I437" t="s">
        <v>700</v>
      </c>
    </row>
    <row r="438" spans="1:9">
      <c r="A438" s="177">
        <v>45108</v>
      </c>
      <c r="B438" t="s">
        <v>597</v>
      </c>
      <c r="C438" t="s">
        <v>575</v>
      </c>
      <c r="D438" s="684">
        <v>5</v>
      </c>
      <c r="E438" s="684">
        <v>3</v>
      </c>
      <c r="F438" t="s">
        <v>20</v>
      </c>
      <c r="G438" s="684">
        <v>1.0629</v>
      </c>
      <c r="H438" s="684">
        <v>92.03</v>
      </c>
      <c r="I438" t="s">
        <v>700</v>
      </c>
    </row>
    <row r="439" spans="1:9">
      <c r="A439" s="177">
        <v>45108</v>
      </c>
      <c r="B439" t="s">
        <v>597</v>
      </c>
      <c r="C439" t="s">
        <v>575</v>
      </c>
      <c r="D439" s="684">
        <v>5</v>
      </c>
      <c r="E439" s="684">
        <v>3</v>
      </c>
      <c r="F439" t="s">
        <v>21</v>
      </c>
      <c r="G439" s="684">
        <v>1</v>
      </c>
      <c r="H439" s="684">
        <v>86.58</v>
      </c>
      <c r="I439" t="s">
        <v>700</v>
      </c>
    </row>
    <row r="440" spans="1:9">
      <c r="A440" s="177">
        <v>45108</v>
      </c>
      <c r="B440" t="s">
        <v>598</v>
      </c>
      <c r="C440" t="s">
        <v>575</v>
      </c>
      <c r="D440" s="684">
        <v>5</v>
      </c>
      <c r="E440" s="684">
        <v>4</v>
      </c>
      <c r="F440" t="s">
        <v>16</v>
      </c>
      <c r="G440" s="684">
        <v>1</v>
      </c>
      <c r="H440" s="684">
        <v>93.13</v>
      </c>
      <c r="I440" t="s">
        <v>700</v>
      </c>
    </row>
    <row r="441" spans="1:9">
      <c r="A441" s="177">
        <v>45108</v>
      </c>
      <c r="B441" t="s">
        <v>598</v>
      </c>
      <c r="C441" t="s">
        <v>575</v>
      </c>
      <c r="D441" s="684">
        <v>5</v>
      </c>
      <c r="E441" s="684">
        <v>4</v>
      </c>
      <c r="F441" t="s">
        <v>17</v>
      </c>
      <c r="G441" s="684">
        <v>1.0789</v>
      </c>
      <c r="H441" s="684">
        <v>100.48</v>
      </c>
      <c r="I441" t="s">
        <v>700</v>
      </c>
    </row>
    <row r="442" spans="1:9">
      <c r="A442" s="177">
        <v>45108</v>
      </c>
      <c r="B442" t="s">
        <v>598</v>
      </c>
      <c r="C442" t="s">
        <v>575</v>
      </c>
      <c r="D442" s="684">
        <v>5</v>
      </c>
      <c r="E442" s="684">
        <v>4</v>
      </c>
      <c r="F442" t="s">
        <v>18</v>
      </c>
      <c r="G442" s="684">
        <v>1</v>
      </c>
      <c r="H442" s="684">
        <v>93.13</v>
      </c>
      <c r="I442" t="s">
        <v>700</v>
      </c>
    </row>
    <row r="443" spans="1:9">
      <c r="A443" s="177">
        <v>45108</v>
      </c>
      <c r="B443" t="s">
        <v>598</v>
      </c>
      <c r="C443" t="s">
        <v>575</v>
      </c>
      <c r="D443" s="684">
        <v>5</v>
      </c>
      <c r="E443" s="684">
        <v>4</v>
      </c>
      <c r="F443" t="s">
        <v>19</v>
      </c>
      <c r="G443" s="684">
        <v>1</v>
      </c>
      <c r="H443" s="684">
        <v>93.13</v>
      </c>
      <c r="I443" t="s">
        <v>700</v>
      </c>
    </row>
    <row r="444" spans="1:9">
      <c r="A444" s="177">
        <v>45108</v>
      </c>
      <c r="B444" t="s">
        <v>598</v>
      </c>
      <c r="C444" t="s">
        <v>575</v>
      </c>
      <c r="D444" s="684">
        <v>5</v>
      </c>
      <c r="E444" s="684">
        <v>4</v>
      </c>
      <c r="F444" t="s">
        <v>20</v>
      </c>
      <c r="G444" s="684">
        <v>1.0629</v>
      </c>
      <c r="H444" s="684">
        <v>98.99</v>
      </c>
      <c r="I444" t="s">
        <v>700</v>
      </c>
    </row>
    <row r="445" spans="1:9">
      <c r="A445" s="177">
        <v>45108</v>
      </c>
      <c r="B445" t="s">
        <v>598</v>
      </c>
      <c r="C445" t="s">
        <v>575</v>
      </c>
      <c r="D445" s="684">
        <v>5</v>
      </c>
      <c r="E445" s="684">
        <v>4</v>
      </c>
      <c r="F445" t="s">
        <v>21</v>
      </c>
      <c r="G445" s="684">
        <v>1</v>
      </c>
      <c r="H445" s="684">
        <v>93.13</v>
      </c>
      <c r="I445" t="s">
        <v>700</v>
      </c>
    </row>
    <row r="446" spans="1:9">
      <c r="A446" s="177">
        <v>45108</v>
      </c>
      <c r="B446" t="s">
        <v>599</v>
      </c>
      <c r="C446" t="s">
        <v>575</v>
      </c>
      <c r="D446" s="684">
        <v>5</v>
      </c>
      <c r="E446" s="684">
        <v>5</v>
      </c>
      <c r="F446" t="s">
        <v>16</v>
      </c>
      <c r="G446" s="684">
        <v>1</v>
      </c>
      <c r="H446" s="684">
        <v>98.89</v>
      </c>
      <c r="I446" t="s">
        <v>700</v>
      </c>
    </row>
    <row r="447" spans="1:9">
      <c r="A447" s="177">
        <v>45108</v>
      </c>
      <c r="B447" t="s">
        <v>599</v>
      </c>
      <c r="C447" t="s">
        <v>575</v>
      </c>
      <c r="D447" s="684">
        <v>5</v>
      </c>
      <c r="E447" s="684">
        <v>5</v>
      </c>
      <c r="F447" t="s">
        <v>17</v>
      </c>
      <c r="G447" s="684">
        <v>1.0789</v>
      </c>
      <c r="H447" s="684">
        <v>106.69</v>
      </c>
      <c r="I447" t="s">
        <v>700</v>
      </c>
    </row>
    <row r="448" spans="1:9">
      <c r="A448" s="177">
        <v>45108</v>
      </c>
      <c r="B448" t="s">
        <v>599</v>
      </c>
      <c r="C448" t="s">
        <v>575</v>
      </c>
      <c r="D448" s="684">
        <v>5</v>
      </c>
      <c r="E448" s="684">
        <v>5</v>
      </c>
      <c r="F448" t="s">
        <v>18</v>
      </c>
      <c r="G448" s="684">
        <v>1</v>
      </c>
      <c r="H448" s="684">
        <v>98.89</v>
      </c>
      <c r="I448" t="s">
        <v>700</v>
      </c>
    </row>
    <row r="449" spans="1:9">
      <c r="A449" s="177">
        <v>45108</v>
      </c>
      <c r="B449" t="s">
        <v>599</v>
      </c>
      <c r="C449" t="s">
        <v>575</v>
      </c>
      <c r="D449" s="684">
        <v>5</v>
      </c>
      <c r="E449" s="684">
        <v>5</v>
      </c>
      <c r="F449" t="s">
        <v>19</v>
      </c>
      <c r="G449" s="684">
        <v>1</v>
      </c>
      <c r="H449" s="684">
        <v>98.89</v>
      </c>
      <c r="I449" t="s">
        <v>700</v>
      </c>
    </row>
    <row r="450" spans="1:9">
      <c r="A450" s="177">
        <v>45108</v>
      </c>
      <c r="B450" t="s">
        <v>599</v>
      </c>
      <c r="C450" t="s">
        <v>575</v>
      </c>
      <c r="D450" s="684">
        <v>5</v>
      </c>
      <c r="E450" s="684">
        <v>5</v>
      </c>
      <c r="F450" t="s">
        <v>20</v>
      </c>
      <c r="G450" s="684">
        <v>1.0629</v>
      </c>
      <c r="H450" s="684">
        <v>105.11</v>
      </c>
      <c r="I450" t="s">
        <v>700</v>
      </c>
    </row>
    <row r="451" spans="1:9">
      <c r="A451" s="177">
        <v>45108</v>
      </c>
      <c r="B451" t="s">
        <v>599</v>
      </c>
      <c r="C451" t="s">
        <v>575</v>
      </c>
      <c r="D451" s="684">
        <v>5</v>
      </c>
      <c r="E451" s="684">
        <v>5</v>
      </c>
      <c r="F451" t="s">
        <v>21</v>
      </c>
      <c r="G451" s="684">
        <v>1</v>
      </c>
      <c r="H451" s="684">
        <v>98.89</v>
      </c>
      <c r="I451" t="s">
        <v>700</v>
      </c>
    </row>
  </sheetData>
  <autoFilter ref="A1:I451" xr:uid="{B4BB4DA3-DF69-4DBC-A376-77BF6F5E208F}"/>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0AE20617EFFE49AB2E56405D231937" ma:contentTypeVersion="11" ma:contentTypeDescription="Create a new document." ma:contentTypeScope="" ma:versionID="7906df8f30bb75f4900ebbc986231552">
  <xsd:schema xmlns:xsd="http://www.w3.org/2001/XMLSchema" xmlns:xs="http://www.w3.org/2001/XMLSchema" xmlns:p="http://schemas.microsoft.com/office/2006/metadata/properties" xmlns:ns1="http://schemas.microsoft.com/sharepoint/v3" targetNamespace="http://schemas.microsoft.com/office/2006/metadata/properties" ma:root="true" ma:fieldsID="cd30dcae271245c99710273dc22dfae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E65E18-F5E4-48B1-8202-33D89BC05D95}">
  <ds:schemaRefs>
    <ds:schemaRef ds:uri="http://schemas.microsoft.com/office/infopath/2007/PartnerControls"/>
    <ds:schemaRef ds:uri="http://schemas.microsoft.com/office/2006/metadata/properties"/>
    <ds:schemaRef ds:uri="http://purl.org/dc/terms/"/>
    <ds:schemaRef ds:uri="http://purl.org/dc/dcmitype/"/>
    <ds:schemaRef ds:uri="http://schemas.microsoft.com/office/2006/documentManagement/types"/>
    <ds:schemaRef ds:uri="http://www.w3.org/XML/1998/namespace"/>
    <ds:schemaRef ds:uri="http://schemas.microsoft.com/sharepoint/v3"/>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2CB36EDD-77E3-4149-8335-248AA965929C}"/>
</file>

<file path=customXml/itemProps3.xml><?xml version="1.0" encoding="utf-8"?>
<ds:datastoreItem xmlns:ds="http://schemas.openxmlformats.org/officeDocument/2006/customXml" ds:itemID="{AFBE9E7A-93D5-4DC0-8B0B-40F60108BC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Instructions</vt:lpstr>
      <vt:lpstr>Budget</vt:lpstr>
      <vt:lpstr>Add-On Tool</vt:lpstr>
      <vt:lpstr>Steps to Update</vt:lpstr>
      <vt:lpstr>Waiver Rate Table</vt:lpstr>
      <vt:lpstr>Addon Table</vt:lpstr>
      <vt:lpstr>FY24_PCI2_Rates.locked v3</vt:lpstr>
      <vt:lpstr>FPS SQL</vt:lpstr>
      <vt:lpstr>FPS SQL Data</vt:lpstr>
      <vt:lpstr>FPS Pivot Table</vt:lpstr>
      <vt:lpstr>Waiver SQL</vt:lpstr>
      <vt:lpstr>Waiver SQL Data</vt:lpstr>
      <vt:lpstr>WaiverPivot Table</vt:lpstr>
      <vt:lpstr>FPS SQL Data (2)</vt:lpstr>
      <vt:lpstr>'Add-On Tool'!Print_Area</vt:lpstr>
      <vt:lpstr>Budget!Print_Area</vt:lpstr>
      <vt:lpstr>Instructions!Print_Area</vt:lpstr>
      <vt:lpstr>Budget!Print_Titles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Nicholas Gabor</cp:lastModifiedBy>
  <cp:lastPrinted>2018-07-16T22:12:18Z</cp:lastPrinted>
  <dcterms:created xsi:type="dcterms:W3CDTF">2017-12-13T21:37:22Z</dcterms:created>
  <dcterms:modified xsi:type="dcterms:W3CDTF">2023-10-25T18:40:40Z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0x010100100AE20617EFFE49AB2E56405D231937</vt:lpwstr>
  </property>
</Properties>
</file>