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O:\MD DD Review\11. FY24 Rates\Analysis\MACS Response\2022-09-16 MACS Prep\"/>
    </mc:Choice>
  </mc:AlternateContent>
  <xr:revisionPtr revIDLastSave="0" documentId="8_{C75DDDBC-0296-452A-9ECF-49F691F6A1B6}" xr6:coauthVersionLast="47" xr6:coauthVersionMax="47" xr10:uidLastSave="{00000000-0000-0000-0000-000000000000}"/>
  <bookViews>
    <workbookView xWindow="-57720" yWindow="-120" windowWidth="29040" windowHeight="15990" xr2:uid="{B55E79E1-C2F1-4564-A85E-3B2F5B21B1DA}"/>
  </bookViews>
  <sheets>
    <sheet name="Methodology Factor Proposal" sheetId="1" r:id="rId1"/>
    <sheet name="Variable (Non-Shared) Cost All." sheetId="3" r:id="rId2"/>
    <sheet name="Transp Component Equity"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9" i="1" l="1"/>
  <c r="AF36" i="5"/>
  <c r="AE36" i="5"/>
  <c r="AD36" i="5"/>
  <c r="AC36" i="5"/>
  <c r="AF43" i="5"/>
  <c r="AE43" i="5"/>
  <c r="AD43" i="5"/>
  <c r="AC43" i="5"/>
  <c r="AF42" i="5"/>
  <c r="AE42" i="5"/>
  <c r="AB13" i="5"/>
  <c r="AB35" i="5" s="1"/>
  <c r="AB57" i="5"/>
  <c r="AB60" i="5"/>
  <c r="AD61" i="5"/>
  <c r="AC61" i="5"/>
  <c r="AF55" i="5"/>
  <c r="AE55" i="5"/>
  <c r="AD55" i="5"/>
  <c r="AD56" i="5" s="1"/>
  <c r="AC55" i="5"/>
  <c r="AC56" i="5" s="1"/>
  <c r="AF65" i="5"/>
  <c r="AF61" i="5" s="1"/>
  <c r="AE65" i="5"/>
  <c r="AE61" i="5" s="1"/>
  <c r="AF22" i="5"/>
  <c r="AE22" i="5"/>
  <c r="AD22" i="5"/>
  <c r="AC22" i="5"/>
  <c r="AF21" i="5"/>
  <c r="AE21" i="5"/>
  <c r="AM22" i="5"/>
  <c r="AO45" i="5"/>
  <c r="AN45" i="5"/>
  <c r="AM45" i="5"/>
  <c r="AL45" i="5"/>
  <c r="AO22" i="5"/>
  <c r="AN22" i="5"/>
  <c r="AL22" i="5"/>
  <c r="AO44" i="5"/>
  <c r="AN44" i="5"/>
  <c r="AO21" i="5"/>
  <c r="AN21" i="5"/>
  <c r="J40" i="5"/>
  <c r="J37" i="5"/>
  <c r="K37" i="5" s="1"/>
  <c r="K39" i="5" s="1"/>
  <c r="K40" i="5" s="1"/>
  <c r="R36" i="5" s="1"/>
  <c r="N45" i="5"/>
  <c r="M45" i="5"/>
  <c r="L45" i="5"/>
  <c r="K45" i="5"/>
  <c r="N44" i="5"/>
  <c r="M44" i="5"/>
  <c r="N22" i="5"/>
  <c r="M22" i="5"/>
  <c r="L22" i="5"/>
  <c r="K22" i="5"/>
  <c r="AB43" i="5" l="1"/>
  <c r="AF56" i="5"/>
  <c r="AE56" i="5"/>
  <c r="AB55" i="5"/>
  <c r="AB61" i="5"/>
  <c r="AB22" i="5"/>
  <c r="AC13" i="5" s="1"/>
  <c r="AK45" i="5"/>
  <c r="AK22" i="5"/>
  <c r="N37" i="5"/>
  <c r="N39" i="5" s="1"/>
  <c r="N40" i="5" s="1"/>
  <c r="J38" i="5"/>
  <c r="L37" i="5"/>
  <c r="L39" i="5" s="1"/>
  <c r="L40" i="5" s="1"/>
  <c r="S36" i="5" s="1"/>
  <c r="M37" i="5"/>
  <c r="M39" i="5" s="1"/>
  <c r="M40" i="5" s="1"/>
  <c r="J45" i="5"/>
  <c r="K46" i="5"/>
  <c r="AD35" i="5" l="1"/>
  <c r="AD37" i="5" s="1"/>
  <c r="AC35" i="5"/>
  <c r="AC37" i="5" s="1"/>
  <c r="AF35" i="5"/>
  <c r="AF37" i="5" s="1"/>
  <c r="AE35" i="5"/>
  <c r="AB56" i="5"/>
  <c r="AB58" i="5" s="1"/>
  <c r="AB63" i="5" s="1"/>
  <c r="AB62" i="5" s="1"/>
  <c r="AE13" i="5"/>
  <c r="AD13" i="5"/>
  <c r="AF13" i="5"/>
  <c r="U37" i="5"/>
  <c r="U36" i="5"/>
  <c r="U39" i="5"/>
  <c r="U38" i="5"/>
  <c r="M46" i="5"/>
  <c r="W36" i="5"/>
  <c r="W40" i="5"/>
  <c r="W39" i="5"/>
  <c r="W37" i="5"/>
  <c r="W38" i="5"/>
  <c r="L36" i="5"/>
  <c r="L38" i="5" s="1"/>
  <c r="AD15" i="5" s="1"/>
  <c r="K36" i="5"/>
  <c r="K38" i="5" s="1"/>
  <c r="AC15" i="5" s="1"/>
  <c r="AC14" i="5" s="1"/>
  <c r="N36" i="5"/>
  <c r="N38" i="5" s="1"/>
  <c r="AF15" i="5" s="1"/>
  <c r="M36" i="5"/>
  <c r="M38" i="5" s="1"/>
  <c r="AE15" i="5" s="1"/>
  <c r="N46" i="5"/>
  <c r="L46" i="5"/>
  <c r="AE37" i="5" l="1"/>
  <c r="AB38" i="5"/>
  <c r="AB39" i="5" s="1"/>
  <c r="AB37" i="5"/>
  <c r="AD14" i="5"/>
  <c r="AF14" i="5"/>
  <c r="AE14" i="5"/>
  <c r="AB14" i="5" l="1"/>
  <c r="AB15" i="5" l="1"/>
  <c r="AB16" i="5"/>
  <c r="AB17" i="5" s="1"/>
  <c r="AC38" i="5" l="1"/>
  <c r="AC39" i="5" s="1"/>
  <c r="AC44" i="5" s="1"/>
  <c r="AD38" i="5"/>
  <c r="AD39" i="5" s="1"/>
  <c r="AD44" i="5" s="1"/>
  <c r="AF38" i="5"/>
  <c r="AF39" i="5" s="1"/>
  <c r="AF44" i="5" s="1"/>
  <c r="AE38" i="5"/>
  <c r="AE39" i="5" s="1"/>
  <c r="AE44" i="5" s="1"/>
  <c r="AE16" i="5"/>
  <c r="AF16" i="5"/>
  <c r="AD16" i="5"/>
  <c r="AC16" i="5"/>
  <c r="J22" i="5" l="1"/>
  <c r="AK13" i="5" l="1"/>
  <c r="AK36" i="5" s="1"/>
  <c r="K13" i="5"/>
  <c r="AC57" i="5" s="1"/>
  <c r="AC58" i="5" s="1"/>
  <c r="AC63" i="5" s="1"/>
  <c r="AC62" i="5" s="1"/>
  <c r="M13" i="5"/>
  <c r="AE57" i="5" s="1"/>
  <c r="AE58" i="5" s="1"/>
  <c r="AE63" i="5" s="1"/>
  <c r="AE62" i="5" s="1"/>
  <c r="L13" i="5"/>
  <c r="AD57" i="5" s="1"/>
  <c r="AD58" i="5" s="1"/>
  <c r="AD63" i="5" s="1"/>
  <c r="AD62" i="5" s="1"/>
  <c r="N13" i="5"/>
  <c r="AF57" i="5" s="1"/>
  <c r="AF58" i="5" s="1"/>
  <c r="AF63" i="5" s="1"/>
  <c r="AF62" i="5" s="1"/>
  <c r="AO13" i="5" l="1"/>
  <c r="AL13" i="5"/>
  <c r="AN13" i="5"/>
  <c r="AK14" i="5"/>
  <c r="AK16" i="5" s="1"/>
  <c r="AK17" i="5" s="1"/>
  <c r="AM13" i="5"/>
  <c r="AM36" i="5"/>
  <c r="AL36" i="5"/>
  <c r="AK37" i="5"/>
  <c r="AO36" i="5"/>
  <c r="AN36" i="5"/>
  <c r="AK15" i="5" l="1"/>
  <c r="AN14" i="5" s="1"/>
  <c r="AO37" i="5"/>
  <c r="AN37" i="5"/>
  <c r="AK39" i="5"/>
  <c r="AK40" i="5" s="1"/>
  <c r="AM37" i="5"/>
  <c r="AL37" i="5"/>
  <c r="AK38" i="5"/>
  <c r="AO14" i="5" l="1"/>
  <c r="AO16" i="5" s="1"/>
  <c r="AO17" i="5" s="1"/>
  <c r="AO23" i="5" s="1"/>
  <c r="AL14" i="5"/>
  <c r="AL16" i="5" s="1"/>
  <c r="AL17" i="5" s="1"/>
  <c r="AQ13" i="5" s="1"/>
  <c r="AM14" i="5"/>
  <c r="AM16" i="5" s="1"/>
  <c r="AM17" i="5" s="1"/>
  <c r="AM23" i="5" s="1"/>
  <c r="AF17" i="5"/>
  <c r="AF23" i="5" s="1"/>
  <c r="AC17" i="5"/>
  <c r="AC23" i="5" s="1"/>
  <c r="AD17" i="5"/>
  <c r="AD23" i="5" s="1"/>
  <c r="AE17" i="5"/>
  <c r="AE23" i="5" s="1"/>
  <c r="AL39" i="5"/>
  <c r="AL40" i="5" s="1"/>
  <c r="AL38" i="5"/>
  <c r="AM39" i="5"/>
  <c r="AM40" i="5" s="1"/>
  <c r="AR36" i="5" s="1"/>
  <c r="AM38" i="5"/>
  <c r="AN39" i="5"/>
  <c r="AN40" i="5" s="1"/>
  <c r="AN38" i="5"/>
  <c r="AO39" i="5"/>
  <c r="AO40" i="5" s="1"/>
  <c r="AO46" i="5" s="1"/>
  <c r="AO38" i="5"/>
  <c r="AN16" i="5"/>
  <c r="AN17" i="5" s="1"/>
  <c r="AN23" i="5" s="1"/>
  <c r="AN15" i="5"/>
  <c r="AO15" i="5" l="1"/>
  <c r="AR13" i="5"/>
  <c r="AM15" i="5"/>
  <c r="AL23" i="5"/>
  <c r="AL15" i="5"/>
  <c r="AL46" i="5"/>
  <c r="AQ36" i="5"/>
  <c r="AV40" i="5"/>
  <c r="AV39" i="5"/>
  <c r="AV38" i="5"/>
  <c r="AV36" i="5"/>
  <c r="AV37" i="5"/>
  <c r="AT38" i="5"/>
  <c r="AT37" i="5"/>
  <c r="AT36" i="5"/>
  <c r="AT39" i="5"/>
  <c r="AN46" i="5"/>
  <c r="AM46" i="5"/>
  <c r="O14" i="3" l="1"/>
  <c r="S36" i="3" l="1"/>
  <c r="K57" i="3"/>
  <c r="K56" i="3"/>
  <c r="F66" i="3"/>
  <c r="H66" i="3" s="1"/>
  <c r="F65" i="3"/>
  <c r="H65" i="3" s="1"/>
  <c r="F64" i="3"/>
  <c r="H64" i="3" s="1"/>
  <c r="F63" i="3"/>
  <c r="H63" i="3" s="1"/>
  <c r="F62" i="3"/>
  <c r="F61" i="3"/>
  <c r="H61" i="3" s="1"/>
  <c r="F60" i="3"/>
  <c r="H60" i="3" s="1"/>
  <c r="F59" i="3"/>
  <c r="H59" i="3" s="1"/>
  <c r="F58" i="3"/>
  <c r="H58" i="3" s="1"/>
  <c r="F57" i="3"/>
  <c r="G57" i="3" s="1"/>
  <c r="I57" i="3" s="1"/>
  <c r="F56" i="3"/>
  <c r="G56" i="3" s="1"/>
  <c r="I56" i="3" s="1"/>
  <c r="M56" i="3" s="1"/>
  <c r="N56" i="3" s="1"/>
  <c r="F46" i="3"/>
  <c r="G46" i="3" s="1"/>
  <c r="F45" i="3"/>
  <c r="G45" i="3" s="1"/>
  <c r="F44" i="3"/>
  <c r="G44" i="3" s="1"/>
  <c r="F43" i="3"/>
  <c r="F42" i="3"/>
  <c r="G42" i="3" s="1"/>
  <c r="F41" i="3"/>
  <c r="G41" i="3" s="1"/>
  <c r="F40" i="3"/>
  <c r="G40" i="3" s="1"/>
  <c r="F39" i="3"/>
  <c r="G39" i="3" s="1"/>
  <c r="F38" i="3"/>
  <c r="G38" i="3" s="1"/>
  <c r="F37" i="3"/>
  <c r="G37" i="3" s="1"/>
  <c r="F36" i="3"/>
  <c r="G36" i="3" s="1"/>
  <c r="G43" i="3"/>
  <c r="M57" i="3" l="1"/>
  <c r="N57" i="3" s="1"/>
  <c r="H56" i="3"/>
  <c r="H57" i="3"/>
  <c r="G62" i="3"/>
  <c r="I62" i="3" s="1"/>
  <c r="H62" i="3"/>
  <c r="G63" i="3"/>
  <c r="I63" i="3" s="1"/>
  <c r="G65" i="3"/>
  <c r="I65" i="3" s="1"/>
  <c r="G58" i="3"/>
  <c r="I58" i="3" s="1"/>
  <c r="G66" i="3"/>
  <c r="I66" i="3" s="1"/>
  <c r="G64" i="3"/>
  <c r="I64" i="3" s="1"/>
  <c r="G59" i="3"/>
  <c r="I59" i="3" s="1"/>
  <c r="G60" i="3"/>
  <c r="I60" i="3" s="1"/>
  <c r="G61" i="3"/>
  <c r="I61" i="3" s="1"/>
  <c r="N21" i="5" l="1"/>
  <c r="M21" i="5"/>
  <c r="J17" i="5"/>
  <c r="J15" i="5"/>
  <c r="N14" i="5" l="1"/>
  <c r="K14" i="5"/>
  <c r="K16" i="5" s="1"/>
  <c r="L14" i="5"/>
  <c r="M14" i="5"/>
  <c r="M15" i="5" l="1"/>
  <c r="M16" i="5"/>
  <c r="M17" i="5" s="1"/>
  <c r="L15" i="5"/>
  <c r="L16" i="5"/>
  <c r="L17" i="5" s="1"/>
  <c r="S13" i="5" s="1"/>
  <c r="N16" i="5"/>
  <c r="N17" i="5" s="1"/>
  <c r="N15" i="5"/>
  <c r="I37" i="3"/>
  <c r="K37" i="3" s="1"/>
  <c r="I36" i="3"/>
  <c r="K36" i="3" s="1"/>
  <c r="H46" i="3"/>
  <c r="K66" i="3" s="1"/>
  <c r="M66" i="3" s="1"/>
  <c r="N66" i="3" s="1"/>
  <c r="H45" i="3"/>
  <c r="H44" i="3"/>
  <c r="H43" i="3"/>
  <c r="H42" i="3"/>
  <c r="H41" i="3"/>
  <c r="H40" i="3"/>
  <c r="H39" i="3"/>
  <c r="H38" i="3"/>
  <c r="G14" i="3"/>
  <c r="G15" i="3"/>
  <c r="H15" i="3" s="1"/>
  <c r="S57" i="3" s="1"/>
  <c r="AA57" i="3" s="1"/>
  <c r="I15" i="3"/>
  <c r="S37" i="3" s="1"/>
  <c r="G16" i="3"/>
  <c r="I16" i="3"/>
  <c r="S38" i="3" s="1"/>
  <c r="G17" i="3"/>
  <c r="N17" i="3" s="1"/>
  <c r="I17" i="3"/>
  <c r="S39" i="3" s="1"/>
  <c r="G18" i="3"/>
  <c r="N18" i="3" s="1"/>
  <c r="I18" i="3"/>
  <c r="S40" i="3" s="1"/>
  <c r="G19" i="3"/>
  <c r="N19" i="3" s="1"/>
  <c r="I19" i="3"/>
  <c r="S41" i="3" s="1"/>
  <c r="G20" i="3"/>
  <c r="N20" i="3" s="1"/>
  <c r="I20" i="3"/>
  <c r="S42" i="3" s="1"/>
  <c r="G21" i="3"/>
  <c r="N21" i="3" s="1"/>
  <c r="I21" i="3"/>
  <c r="S43" i="3" s="1"/>
  <c r="G22" i="3"/>
  <c r="N22" i="3" s="1"/>
  <c r="I22" i="3"/>
  <c r="S44" i="3" s="1"/>
  <c r="G23" i="3"/>
  <c r="N23" i="3" s="1"/>
  <c r="I23" i="3"/>
  <c r="S45" i="3" s="1"/>
  <c r="G24" i="3"/>
  <c r="N24" i="3" s="1"/>
  <c r="I24" i="3"/>
  <c r="S46" i="3" s="1"/>
  <c r="AV13" i="5" l="1"/>
  <c r="AV17" i="5"/>
  <c r="AV16" i="5"/>
  <c r="AV14" i="5"/>
  <c r="AV15" i="5"/>
  <c r="AT16" i="5"/>
  <c r="AT15" i="5"/>
  <c r="AT13" i="5"/>
  <c r="AT14" i="5"/>
  <c r="U16" i="5"/>
  <c r="U15" i="5"/>
  <c r="U14" i="5"/>
  <c r="U13" i="5"/>
  <c r="N23" i="5"/>
  <c r="W17" i="5"/>
  <c r="W16" i="5"/>
  <c r="W13" i="5"/>
  <c r="W15" i="5"/>
  <c r="W14" i="5"/>
  <c r="L23" i="5"/>
  <c r="M23" i="5"/>
  <c r="V36" i="3"/>
  <c r="AA36" i="3"/>
  <c r="AA37" i="3"/>
  <c r="V37" i="3"/>
  <c r="V57" i="3"/>
  <c r="I38" i="3"/>
  <c r="K38" i="3" s="1"/>
  <c r="K58" i="3"/>
  <c r="M58" i="3" s="1"/>
  <c r="N58" i="3" s="1"/>
  <c r="I39" i="3"/>
  <c r="K39" i="3" s="1"/>
  <c r="K59" i="3"/>
  <c r="M59" i="3" s="1"/>
  <c r="N59" i="3" s="1"/>
  <c r="I42" i="3"/>
  <c r="K42" i="3" s="1"/>
  <c r="K62" i="3"/>
  <c r="M62" i="3" s="1"/>
  <c r="N62" i="3" s="1"/>
  <c r="I40" i="3"/>
  <c r="K40" i="3" s="1"/>
  <c r="K60" i="3"/>
  <c r="M60" i="3" s="1"/>
  <c r="N60" i="3" s="1"/>
  <c r="I41" i="3"/>
  <c r="K41" i="3" s="1"/>
  <c r="K61" i="3"/>
  <c r="M61" i="3" s="1"/>
  <c r="N61" i="3" s="1"/>
  <c r="I43" i="3"/>
  <c r="K43" i="3" s="1"/>
  <c r="K63" i="3"/>
  <c r="M63" i="3" s="1"/>
  <c r="N63" i="3" s="1"/>
  <c r="I44" i="3"/>
  <c r="K44" i="3" s="1"/>
  <c r="K64" i="3"/>
  <c r="M64" i="3" s="1"/>
  <c r="N64" i="3" s="1"/>
  <c r="I45" i="3"/>
  <c r="K45" i="3" s="1"/>
  <c r="K65" i="3"/>
  <c r="M65" i="3" s="1"/>
  <c r="N65" i="3" s="1"/>
  <c r="K17" i="5"/>
  <c r="R13" i="5" s="1"/>
  <c r="O18" i="3"/>
  <c r="O21" i="3"/>
  <c r="O17" i="3"/>
  <c r="O24" i="3"/>
  <c r="O20" i="3"/>
  <c r="O23" i="3"/>
  <c r="O19" i="3"/>
  <c r="O22" i="3"/>
  <c r="R15" i="3"/>
  <c r="S15" i="3" s="1"/>
  <c r="H14" i="3"/>
  <c r="N15" i="3"/>
  <c r="H16" i="3"/>
  <c r="S58" i="3" s="1"/>
  <c r="N16" i="3"/>
  <c r="H18" i="3"/>
  <c r="S60" i="3" s="1"/>
  <c r="N14" i="3"/>
  <c r="H24" i="3"/>
  <c r="S66" i="3" s="1"/>
  <c r="AA66" i="3" s="1"/>
  <c r="H17" i="3"/>
  <c r="S59" i="3" s="1"/>
  <c r="H23" i="3"/>
  <c r="S65" i="3" s="1"/>
  <c r="I46" i="3"/>
  <c r="H19" i="3"/>
  <c r="S61" i="3" s="1"/>
  <c r="H20" i="3"/>
  <c r="S62" i="3" s="1"/>
  <c r="H21" i="3"/>
  <c r="S63" i="3" s="1"/>
  <c r="H22" i="3"/>
  <c r="S64" i="3" s="1"/>
  <c r="K23" i="5" l="1"/>
  <c r="K15" i="5"/>
  <c r="Z37" i="3"/>
  <c r="Z57" i="3"/>
  <c r="V39" i="3"/>
  <c r="AA39" i="3"/>
  <c r="AA61" i="3"/>
  <c r="AA58" i="3"/>
  <c r="V45" i="3"/>
  <c r="AA45" i="3"/>
  <c r="V64" i="3"/>
  <c r="AA64" i="3"/>
  <c r="V38" i="3"/>
  <c r="AA38" i="3"/>
  <c r="V40" i="3"/>
  <c r="AA40" i="3"/>
  <c r="Y62" i="3"/>
  <c r="Y42" i="3"/>
  <c r="V43" i="3"/>
  <c r="AA43" i="3"/>
  <c r="Y66" i="3"/>
  <c r="Y46" i="3"/>
  <c r="Y39" i="3"/>
  <c r="Y59" i="3"/>
  <c r="V41" i="3"/>
  <c r="AA41" i="3"/>
  <c r="Y43" i="3"/>
  <c r="Y63" i="3"/>
  <c r="AA65" i="3"/>
  <c r="AA60" i="3"/>
  <c r="Y60" i="3"/>
  <c r="Y40" i="3"/>
  <c r="Y64" i="3"/>
  <c r="Y44" i="3"/>
  <c r="AA62" i="3"/>
  <c r="Y41" i="3"/>
  <c r="Y61" i="3"/>
  <c r="V44" i="3"/>
  <c r="AA44" i="3"/>
  <c r="V42" i="3"/>
  <c r="AA42" i="3"/>
  <c r="Y65" i="3"/>
  <c r="Y45" i="3"/>
  <c r="AA63" i="3"/>
  <c r="AA59" i="3"/>
  <c r="T62" i="3"/>
  <c r="T42" i="3"/>
  <c r="T46" i="3"/>
  <c r="T66" i="3"/>
  <c r="V61" i="3"/>
  <c r="V58" i="3"/>
  <c r="T39" i="3"/>
  <c r="T59" i="3"/>
  <c r="R14" i="3"/>
  <c r="S14" i="3" s="1"/>
  <c r="S56" i="3"/>
  <c r="AA56" i="3" s="1"/>
  <c r="T63" i="3"/>
  <c r="T43" i="3"/>
  <c r="V65" i="3"/>
  <c r="V60" i="3"/>
  <c r="U57" i="3"/>
  <c r="U37" i="3"/>
  <c r="T40" i="3"/>
  <c r="T60" i="3"/>
  <c r="T44" i="3"/>
  <c r="T64" i="3"/>
  <c r="V62" i="3"/>
  <c r="T61" i="3"/>
  <c r="T41" i="3"/>
  <c r="T45" i="3"/>
  <c r="T65" i="3"/>
  <c r="V63" i="3"/>
  <c r="V59" i="3"/>
  <c r="V66" i="3"/>
  <c r="K46" i="3"/>
  <c r="R24" i="3"/>
  <c r="R21" i="3"/>
  <c r="R18" i="3"/>
  <c r="R20" i="3"/>
  <c r="O16" i="3"/>
  <c r="R19" i="3"/>
  <c r="R23" i="3"/>
  <c r="R16" i="3"/>
  <c r="O15" i="3"/>
  <c r="R17" i="3"/>
  <c r="R22" i="3"/>
  <c r="Y56" i="3" l="1"/>
  <c r="Y36" i="3"/>
  <c r="Y57" i="3"/>
  <c r="Y37" i="3"/>
  <c r="V46" i="3"/>
  <c r="AA46" i="3"/>
  <c r="Z36" i="3"/>
  <c r="Z56" i="3"/>
  <c r="Y58" i="3"/>
  <c r="Y38" i="3"/>
  <c r="T37" i="3"/>
  <c r="T57" i="3"/>
  <c r="V56" i="3"/>
  <c r="T38" i="3"/>
  <c r="T58" i="3"/>
  <c r="U36" i="3"/>
  <c r="U56" i="3"/>
  <c r="T36" i="3"/>
  <c r="T56" i="3"/>
  <c r="S20" i="3"/>
  <c r="S24" i="3"/>
  <c r="S16" i="3"/>
  <c r="S22" i="3"/>
  <c r="S19" i="3"/>
  <c r="S17" i="3"/>
  <c r="S23" i="3"/>
  <c r="S18" i="3"/>
  <c r="S21" i="3"/>
  <c r="Z38" i="3" l="1"/>
  <c r="Z58" i="3"/>
  <c r="Z62" i="3"/>
  <c r="Z42" i="3"/>
  <c r="Z65" i="3"/>
  <c r="Z45" i="3"/>
  <c r="Z61" i="3"/>
  <c r="Z41" i="3"/>
  <c r="Z44" i="3"/>
  <c r="Z64" i="3"/>
  <c r="Z66" i="3"/>
  <c r="Z46" i="3"/>
  <c r="Z63" i="3"/>
  <c r="Z43" i="3"/>
  <c r="Z40" i="3"/>
  <c r="Z60" i="3"/>
  <c r="Z59" i="3"/>
  <c r="Z39" i="3"/>
  <c r="U41" i="3"/>
  <c r="U61" i="3"/>
  <c r="U44" i="3"/>
  <c r="U64" i="3"/>
  <c r="U43" i="3"/>
  <c r="U63" i="3"/>
  <c r="U38" i="3"/>
  <c r="U58" i="3"/>
  <c r="U66" i="3"/>
  <c r="U46" i="3"/>
  <c r="U42" i="3"/>
  <c r="U62" i="3"/>
  <c r="U60" i="3"/>
  <c r="U40" i="3"/>
  <c r="U45" i="3"/>
  <c r="U65" i="3"/>
  <c r="U59" i="3"/>
  <c r="U39" i="3"/>
  <c r="E20" i="1"/>
  <c r="E13" i="1"/>
  <c r="K20" i="1" l="1"/>
  <c r="N20" i="1"/>
  <c r="E14" i="1"/>
  <c r="N14" i="1" s="1"/>
  <c r="N13" i="1"/>
  <c r="E17" i="1"/>
  <c r="E16" i="1"/>
  <c r="E18" i="1"/>
  <c r="E21" i="1"/>
  <c r="N21" i="1" s="1"/>
  <c r="E15" i="1"/>
  <c r="N15" i="1" s="1"/>
  <c r="K13" i="1"/>
  <c r="K14" i="1" l="1"/>
  <c r="J14" i="1" s="1"/>
  <c r="K18" i="1"/>
  <c r="J18" i="1" s="1"/>
  <c r="N18" i="1"/>
  <c r="M18" i="1" s="1"/>
  <c r="K16" i="1"/>
  <c r="J16" i="1" s="1"/>
  <c r="N16" i="1"/>
  <c r="K17" i="1"/>
  <c r="J17" i="1" s="1"/>
  <c r="N17" i="1"/>
  <c r="M17" i="1" s="1"/>
  <c r="M14" i="1"/>
  <c r="M15" i="1"/>
  <c r="K15" i="1"/>
  <c r="E22" i="1"/>
  <c r="K21" i="1"/>
  <c r="N26" i="1" l="1"/>
  <c r="M16" i="1"/>
  <c r="K26" i="1"/>
  <c r="J20" i="1"/>
  <c r="M20" i="1"/>
  <c r="E24" i="1"/>
  <c r="E26" i="1" s="1"/>
  <c r="E28" i="1" s="1"/>
  <c r="J15" i="1"/>
  <c r="J21" i="1"/>
  <c r="M21" i="1"/>
  <c r="Q14" i="1" l="1"/>
  <c r="R14" i="1" s="1"/>
  <c r="Q16" i="1"/>
  <c r="R16" i="1" s="1"/>
  <c r="Q15" i="1"/>
  <c r="R15" i="1" s="1"/>
  <c r="Q13" i="1"/>
  <c r="R13" i="1" s="1"/>
  <c r="Q17" i="1"/>
  <c r="R17" i="1" s="1"/>
  <c r="Q26" i="1"/>
  <c r="R26" i="1" s="1"/>
  <c r="Q25" i="1"/>
  <c r="R25" i="1" s="1"/>
  <c r="Q24" i="1"/>
  <c r="R24" i="1" s="1"/>
  <c r="Q23" i="1"/>
  <c r="R23" i="1" s="1"/>
  <c r="Q22" i="1"/>
  <c r="R22" i="1" s="1"/>
</calcChain>
</file>

<file path=xl/sharedStrings.xml><?xml version="1.0" encoding="utf-8"?>
<sst xmlns="http://schemas.openxmlformats.org/spreadsheetml/2006/main" count="528" uniqueCount="228">
  <si>
    <t>Component</t>
  </si>
  <si>
    <t>Source</t>
  </si>
  <si>
    <t>Dollars</t>
  </si>
  <si>
    <t>BLS 21-1093: Social and Human Service Assistants</t>
  </si>
  <si>
    <t xml:space="preserve">2018 to 2022 </t>
  </si>
  <si>
    <t>ERE</t>
  </si>
  <si>
    <t>Total</t>
  </si>
  <si>
    <t>Facility</t>
  </si>
  <si>
    <t>Day</t>
  </si>
  <si>
    <t>Program Support</t>
  </si>
  <si>
    <t>Training</t>
  </si>
  <si>
    <t>DSP I</t>
  </si>
  <si>
    <t>Transportation</t>
  </si>
  <si>
    <t xml:space="preserve">Policy Decision - Day @ 125% </t>
  </si>
  <si>
    <t>Subtotal</t>
  </si>
  <si>
    <t/>
  </si>
  <si>
    <t>G&amp;A</t>
  </si>
  <si>
    <t>Policy Decision</t>
  </si>
  <si>
    <t>Service Adjustment</t>
  </si>
  <si>
    <t>Closures (Partial)</t>
  </si>
  <si>
    <t>"Fully Loaded Rate"</t>
  </si>
  <si>
    <t>Billable Unit</t>
  </si>
  <si>
    <t>15 min</t>
  </si>
  <si>
    <t>Staff/Unit</t>
  </si>
  <si>
    <t>Billable Rate</t>
  </si>
  <si>
    <t>Funding Level Adjustment</t>
  </si>
  <si>
    <t>Funded Rate</t>
  </si>
  <si>
    <t>Day Habilitation Small Group (2-5)</t>
  </si>
  <si>
    <t>Fixed</t>
  </si>
  <si>
    <t>Variable</t>
  </si>
  <si>
    <t>Inflation to BLS Wage</t>
  </si>
  <si>
    <t xml:space="preserve">Group Size </t>
  </si>
  <si>
    <t>Revenue - Expenses</t>
  </si>
  <si>
    <t>Proposed Methodology</t>
  </si>
  <si>
    <t>Components per 15 mins</t>
  </si>
  <si>
    <t>Option 1a</t>
  </si>
  <si>
    <t>Option 1b</t>
  </si>
  <si>
    <t xml:space="preserve">Proposed Group Rate Options </t>
  </si>
  <si>
    <t>Day Hab Service</t>
  </si>
  <si>
    <t># of Participants</t>
  </si>
  <si>
    <t>Shared [A]</t>
  </si>
  <si>
    <t>Non-Shared [B]</t>
  </si>
  <si>
    <t>Total [A] + [B]</t>
  </si>
  <si>
    <t>Average of Total</t>
  </si>
  <si>
    <t>Current Approach</t>
  </si>
  <si>
    <t>2:1 Staffing Ratio</t>
  </si>
  <si>
    <t>1:1 Staffing Ratio</t>
  </si>
  <si>
    <t>Small Group (2-5)</t>
  </si>
  <si>
    <t>Large Group (6-10)</t>
  </si>
  <si>
    <t>Staffing Ratio</t>
  </si>
  <si>
    <t>Rate/person/hour</t>
  </si>
  <si>
    <t>Revenue/hour</t>
  </si>
  <si>
    <t>Current Rate Methodology</t>
  </si>
  <si>
    <t>Proposed Option 1a</t>
  </si>
  <si>
    <t>Proposed Option 1b</t>
  </si>
  <si>
    <t>Cost Per Employee Hour</t>
  </si>
  <si>
    <t>Original MACS Slide Deck Table</t>
  </si>
  <si>
    <t>Service</t>
  </si>
  <si>
    <t>Shared Cost %</t>
  </si>
  <si>
    <t>Non-Shared Cost %</t>
  </si>
  <si>
    <t>Community Development Service 2:1 Staffing Ratio</t>
  </si>
  <si>
    <t>Community Development Service 1:1 Staffing Ratio</t>
  </si>
  <si>
    <t>Community Development Service: Group - (1-4)</t>
  </si>
  <si>
    <t>Day Habilitation 2:1 Staffing Ratio</t>
  </si>
  <si>
    <t>Day Habilitation 1:1 Staffing Ratio</t>
  </si>
  <si>
    <t>Day Habilitation Large Group (6-10)</t>
  </si>
  <si>
    <t>Day Hab Services Transportation Time</t>
  </si>
  <si>
    <t>Day 2:1</t>
  </si>
  <si>
    <t>Day 1:1</t>
  </si>
  <si>
    <t>Day Small Group</t>
  </si>
  <si>
    <t>Day Large Group</t>
  </si>
  <si>
    <t>Notes</t>
  </si>
  <si>
    <t>Number of Participants</t>
  </si>
  <si>
    <t>Assume we have 100 participants w/ 25 in each group size</t>
  </si>
  <si>
    <t>Total DSP Service (Billable Hours)</t>
  </si>
  <si>
    <t>Allocated by staffing ratio (2:1, 1:1, 1:3, 1:6)</t>
  </si>
  <si>
    <t>Total DSP Transportation (Nonbillable Hours)</t>
  </si>
  <si>
    <t>Transportation as a % of DSP billable wage</t>
  </si>
  <si>
    <t>Transportation Costs for Day Hab</t>
  </si>
  <si>
    <t>Transportation Cost per Participant</t>
  </si>
  <si>
    <t>Lower cost per participant in large group</t>
  </si>
  <si>
    <r>
      <t xml:space="preserve">Option 2: </t>
    </r>
    <r>
      <rPr>
        <sz val="14"/>
        <color rgb="FF7030A0"/>
        <rFont val="Calibri"/>
        <family val="2"/>
        <scheme val="minor"/>
      </rPr>
      <t>Adjust percentage assumption in BRICK for group size for non-shared cost percentages</t>
    </r>
  </si>
  <si>
    <t>2. Methodology Comparison</t>
  </si>
  <si>
    <t>3. Revenue and Expense Comparison</t>
  </si>
  <si>
    <t xml:space="preserve">The decision from DDA was to use an average/expected group size to split ALL costs to incentivize providers to render care for an individual within the appropriate setting in the most efficient manner. </t>
  </si>
  <si>
    <t xml:space="preserve">The proposed methodology does not tie back to the percentages at the component level and overstates the total revenue, resulting in an increased gap between "expenses" and revenue as group sizes increase. </t>
  </si>
  <si>
    <t xml:space="preserve">In July of 2022, MACS and DDA met once more to discuss concerns that were shared. </t>
  </si>
  <si>
    <t xml:space="preserve">The concerns shared were grouped into three categories: </t>
  </si>
  <si>
    <t>2. Transportation Policy and Funding</t>
  </si>
  <si>
    <t>3. Acuity</t>
  </si>
  <si>
    <t>1. Rate methodology: Fixed vs Variable Rate Components</t>
  </si>
  <si>
    <t>1. DDA made the decision to continue using the current methodologies, due to reasons discussed in the prior conversations</t>
  </si>
  <si>
    <t xml:space="preserve">2. At the time of conversation, DDA was in the process of collecting data on transportation for meaningful day services for review. </t>
  </si>
  <si>
    <t xml:space="preserve">The component for transportation has since been increased as a result of those data collection efforts. </t>
  </si>
  <si>
    <t xml:space="preserve">3. The current rate methodology has levers that providers can utilize in the person centered plans to create a meaningful day experience </t>
  </si>
  <si>
    <t xml:space="preserve">for the indvidual. For example, the expectation is that individuals with complex medical needs and/or challenging behaviors would be served </t>
  </si>
  <si>
    <t xml:space="preserve">under the enhanced rates of 2:1 or 1:1 settings, which do take into account the additional support costs needed to provide those services. </t>
  </si>
  <si>
    <t>The response from DDA at the time:</t>
  </si>
  <si>
    <t>* "Expense" per employee 15 minutes</t>
  </si>
  <si>
    <t>Hours/Unit*</t>
  </si>
  <si>
    <t>MACS Proposed**</t>
  </si>
  <si>
    <t>Variable (Non-Shared) Cost Allocation</t>
  </si>
  <si>
    <t>Fixed
(Shared) [A]</t>
  </si>
  <si>
    <t>Variable
(Non-Shared) [B]</t>
  </si>
  <si>
    <r>
      <rPr>
        <b/>
        <u/>
        <sz val="14"/>
        <color theme="1"/>
        <rFont val="Calibri"/>
        <family val="2"/>
        <scheme val="minor"/>
      </rPr>
      <t>Methodology Factor Proposal</t>
    </r>
    <r>
      <rPr>
        <u/>
        <sz val="14"/>
        <color theme="1"/>
        <rFont val="Calibri"/>
        <family val="2"/>
        <scheme val="minor"/>
      </rPr>
      <t xml:space="preserve"> </t>
    </r>
    <r>
      <rPr>
        <i/>
        <u/>
        <sz val="14"/>
        <color theme="1"/>
        <rFont val="Calibri"/>
        <family val="2"/>
        <scheme val="minor"/>
      </rPr>
      <t>(November 2021 "Fishbowl")</t>
    </r>
  </si>
  <si>
    <t xml:space="preserve">In November of 2021, DDA hosted a discussion around the Fixed vs. Variable Costs with MACS and their consultants. </t>
  </si>
  <si>
    <r>
      <t xml:space="preserve">1. </t>
    </r>
    <r>
      <rPr>
        <b/>
        <u/>
        <sz val="14"/>
        <color theme="1"/>
        <rFont val="Calibri"/>
        <family val="2"/>
        <scheme val="minor"/>
      </rPr>
      <t>FY23 Rate</t>
    </r>
    <r>
      <rPr>
        <b/>
        <sz val="14"/>
        <color theme="1"/>
        <rFont val="Calibri"/>
        <family val="2"/>
        <scheme val="minor"/>
      </rPr>
      <t xml:space="preserve"> Breakdown - Methodology</t>
    </r>
  </si>
  <si>
    <t>Proposed Category</t>
  </si>
  <si>
    <t xml:space="preserve">components multiplied </t>
  </si>
  <si>
    <t>Rate Model*</t>
  </si>
  <si>
    <t>Factor</t>
  </si>
  <si>
    <t>The rate model methodology is predicated on -</t>
  </si>
  <si>
    <t>July 2022 Discussion</t>
  </si>
  <si>
    <t>Rate Model</t>
  </si>
  <si>
    <t>(per person)</t>
  </si>
  <si>
    <t>Provider Revenue</t>
  </si>
  <si>
    <t>Discussion Area:</t>
  </si>
  <si>
    <t>Rate
(per person/hour)</t>
  </si>
  <si>
    <t>Provider Revenue
per hour</t>
  </si>
  <si>
    <t>Actual Total
[A] + [B]</t>
  </si>
  <si>
    <t>Average Total
[A] + [C]</t>
  </si>
  <si>
    <t xml:space="preserve"> </t>
  </si>
  <si>
    <t>Scenario Model A: Data show $15 expenses for Small and Large Group</t>
  </si>
  <si>
    <t>Scenario Model B: Data show $20 expenses for Small and $29 expenses for Large Group</t>
  </si>
  <si>
    <t xml:space="preserve">Additionally, the Large Group rate is approximately 20% higher in the rate model than Small group, however, we will keep the numbers constant for the purpose of comparison. </t>
  </si>
  <si>
    <t>How can this address concerns around "administrative burden" for different rates by number of individuals?</t>
  </si>
  <si>
    <t>Scenario Model 1: Data show $15 expenses for Small and Large Group</t>
  </si>
  <si>
    <t>Scenario Model 2: Data show $20 expenses for Small and $29 expenses for Large Group</t>
  </si>
  <si>
    <t>Revenue - Expense Comparison</t>
  </si>
  <si>
    <t>Expense</t>
  </si>
  <si>
    <t>Scenario 1</t>
  </si>
  <si>
    <t>Revenue/Expense Comparison</t>
  </si>
  <si>
    <t>Notes:</t>
  </si>
  <si>
    <t>Comments:</t>
  </si>
  <si>
    <t>Tables are provided below to facilitate discussion and understanding around the proposals and the current methodology.</t>
  </si>
  <si>
    <r>
      <t xml:space="preserve">Components reflecting a developed percentage </t>
    </r>
    <r>
      <rPr>
        <i/>
        <sz val="14"/>
        <color rgb="FFC00000"/>
        <rFont val="Calibri"/>
        <family val="2"/>
        <scheme val="minor"/>
      </rPr>
      <t>relative to wages</t>
    </r>
    <r>
      <rPr>
        <sz val="14"/>
        <color rgb="FFC00000"/>
        <rFont val="Calibri"/>
        <family val="2"/>
        <scheme val="minor"/>
      </rPr>
      <t xml:space="preserve"> at all levels. These percentages were derived from the general ledger data collected from providers. </t>
    </r>
  </si>
  <si>
    <r>
      <t xml:space="preserve">Revenue ties back to the estimated "expense" for providers. "Expense" represents the </t>
    </r>
    <r>
      <rPr>
        <i/>
        <sz val="14"/>
        <color rgb="FFC00000"/>
        <rFont val="Calibri"/>
        <family val="2"/>
        <scheme val="minor"/>
      </rPr>
      <t xml:space="preserve">estimated </t>
    </r>
    <r>
      <rPr>
        <sz val="14"/>
        <color rgb="FFC00000"/>
        <rFont val="Calibri"/>
        <family val="2"/>
        <scheme val="minor"/>
      </rPr>
      <t xml:space="preserve">cost incurred per staff hour or billable unit. </t>
    </r>
  </si>
  <si>
    <r>
      <t>Notes:</t>
    </r>
    <r>
      <rPr>
        <i/>
        <sz val="14"/>
        <color rgb="FFC00000"/>
        <rFont val="Calibri"/>
        <family val="2"/>
        <scheme val="minor"/>
      </rPr>
      <t xml:space="preserve"> In August 2021, MACS shared tables with DDA illustrating proposed alternative methodologies for the Variable ("Non-Shared") costs.</t>
    </r>
  </si>
  <si>
    <r>
      <rPr>
        <b/>
        <i/>
        <u/>
        <sz val="14"/>
        <color rgb="FFC00000"/>
        <rFont val="Calibri"/>
        <family val="2"/>
        <scheme val="minor"/>
      </rPr>
      <t>Comments</t>
    </r>
    <r>
      <rPr>
        <i/>
        <sz val="14"/>
        <color rgb="FFC00000"/>
        <rFont val="Calibri"/>
        <family val="2"/>
        <scheme val="minor"/>
      </rPr>
      <t>: What methodology is expected to translate these costs into corresponding rates?</t>
    </r>
  </si>
  <si>
    <r>
      <rPr>
        <b/>
        <i/>
        <u/>
        <sz val="14"/>
        <color rgb="FFC00000"/>
        <rFont val="Calibri"/>
        <family val="2"/>
        <scheme val="minor"/>
      </rPr>
      <t>Comments</t>
    </r>
    <r>
      <rPr>
        <i/>
        <sz val="14"/>
        <color rgb="FFC00000"/>
        <rFont val="Calibri"/>
        <family val="2"/>
        <scheme val="minor"/>
      </rPr>
      <t>: There may be some misunderstanding about how the rates are being applied and what each value represents.</t>
    </r>
  </si>
  <si>
    <r>
      <rPr>
        <b/>
        <i/>
        <u/>
        <sz val="14"/>
        <color rgb="FFC00000"/>
        <rFont val="Calibri"/>
        <family val="2"/>
        <scheme val="minor"/>
      </rPr>
      <t>Comments</t>
    </r>
    <r>
      <rPr>
        <i/>
        <sz val="14"/>
        <color rgb="FFC00000"/>
        <rFont val="Calibri"/>
        <family val="2"/>
        <scheme val="minor"/>
      </rPr>
      <t>: If $15 reflects expenses in data, rates appear to provide this revenue with three individuals in a small group or six in a large group (or more).</t>
    </r>
  </si>
  <si>
    <r>
      <rPr>
        <b/>
        <sz val="14"/>
        <color rgb="FFC00000"/>
        <rFont val="Calibri"/>
        <family val="2"/>
        <scheme val="minor"/>
      </rPr>
      <t>Actual</t>
    </r>
    <r>
      <rPr>
        <b/>
        <sz val="14"/>
        <color rgb="FFFF0000"/>
        <rFont val="Calibri"/>
        <family val="2"/>
        <scheme val="minor"/>
      </rPr>
      <t xml:space="preserve"> </t>
    </r>
    <r>
      <rPr>
        <b/>
        <sz val="14"/>
        <rFont val="Calibri"/>
        <family val="2"/>
        <scheme val="minor"/>
      </rPr>
      <t>Variable
(Non-Shared) [B]</t>
    </r>
  </si>
  <si>
    <r>
      <rPr>
        <b/>
        <sz val="14"/>
        <color rgb="FFC00000"/>
        <rFont val="Calibri"/>
        <family val="2"/>
        <scheme val="minor"/>
      </rPr>
      <t>Average</t>
    </r>
    <r>
      <rPr>
        <b/>
        <sz val="14"/>
        <color rgb="FFFF0000"/>
        <rFont val="Calibri"/>
        <family val="2"/>
        <scheme val="minor"/>
      </rPr>
      <t xml:space="preserve"> </t>
    </r>
    <r>
      <rPr>
        <b/>
        <sz val="14"/>
        <rFont val="Calibri"/>
        <family val="2"/>
        <scheme val="minor"/>
      </rPr>
      <t>Variable
(Non-Shared) [C]</t>
    </r>
  </si>
  <si>
    <r>
      <rPr>
        <b/>
        <i/>
        <u/>
        <sz val="14"/>
        <color rgb="FFC00000"/>
        <rFont val="Calibri"/>
        <family val="2"/>
        <scheme val="minor"/>
      </rPr>
      <t>Comments</t>
    </r>
    <r>
      <rPr>
        <i/>
        <sz val="14"/>
        <color rgb="FFC00000"/>
        <rFont val="Calibri"/>
        <family val="2"/>
        <scheme val="minor"/>
      </rPr>
      <t>: Proposed revenue options appear to significantly exceed expenses.</t>
    </r>
  </si>
  <si>
    <r>
      <rPr>
        <b/>
        <i/>
        <u/>
        <sz val="14"/>
        <color rgb="FFC00000"/>
        <rFont val="Calibri"/>
        <family val="2"/>
        <scheme val="minor"/>
      </rPr>
      <t>Comments</t>
    </r>
    <r>
      <rPr>
        <i/>
        <sz val="14"/>
        <color rgb="FFC00000"/>
        <rFont val="Calibri"/>
        <family val="2"/>
        <scheme val="minor"/>
      </rPr>
      <t>: Revenues from Option 1a and Option 1b reflect rates that change by number of individuals in a group, which may be administratively burdensome.</t>
    </r>
  </si>
  <si>
    <r>
      <rPr>
        <b/>
        <i/>
        <u/>
        <sz val="14"/>
        <color rgb="FFC00000"/>
        <rFont val="Calibri"/>
        <family val="2"/>
        <scheme val="minor"/>
      </rPr>
      <t>Comments</t>
    </r>
    <r>
      <rPr>
        <i/>
        <sz val="14"/>
        <color rgb="FFC00000"/>
        <rFont val="Calibri"/>
        <family val="2"/>
        <scheme val="minor"/>
      </rPr>
      <t>: If $20 (or $29) reflects expenses in data, rates appear to provide this revenue with three individuals in a small group or six in a large group (or more).</t>
    </r>
  </si>
  <si>
    <t>There were concerns around the proposed methodology which are laid out below.</t>
  </si>
  <si>
    <t>% / Factor**</t>
  </si>
  <si>
    <t>** % / Factor components are either derived from General Ledger Data or increased above GL Data</t>
  </si>
  <si>
    <t>1. Variable (Non-Shared) Cost</t>
  </si>
  <si>
    <t>2. Total Group Revenue Per Hour</t>
  </si>
  <si>
    <t>3. Single Rate (Per Person Per Hour)</t>
  </si>
  <si>
    <t>First we need to identify what value represents the estimated cost per employee hour. The examples below illustrate two possible interpretations.</t>
  </si>
  <si>
    <t>Assumptions/Implied Figures</t>
  </si>
  <si>
    <t>Staff Ratio</t>
  </si>
  <si>
    <t>Transportation (Variable) Component Equity</t>
  </si>
  <si>
    <t>Staff Needed</t>
  </si>
  <si>
    <t>Group Transportation Cost (Assumed Average)</t>
  </si>
  <si>
    <t>2:1</t>
  </si>
  <si>
    <t>1:1</t>
  </si>
  <si>
    <t>Implied Staff</t>
  </si>
  <si>
    <t>Allocated by # of participants</t>
  </si>
  <si>
    <t>Same cost per participant across all groups; no change to total cost</t>
  </si>
  <si>
    <t>Small Group</t>
  </si>
  <si>
    <t>Large Group</t>
  </si>
  <si>
    <t>Table 1. Split all costs by staff ratio</t>
  </si>
  <si>
    <t>Table 2. Split all costs by number of participants</t>
  </si>
  <si>
    <t>Implied Transportation Rev per Group</t>
  </si>
  <si>
    <t>Participants: Proposed Model</t>
  </si>
  <si>
    <t>Participants: DDA Estimates</t>
  </si>
  <si>
    <t>Staff Hours</t>
  </si>
  <si>
    <t>Implied Hours/Staff</t>
  </si>
  <si>
    <t>Comments: Provider revenue implied by Table 2 methodology</t>
  </si>
  <si>
    <t>Comments: Provider revenue implied by Table 1 methodology</t>
  </si>
  <si>
    <t>Table 4. Comparison of Staff &amp; Hour Assumptions</t>
  </si>
  <si>
    <t>Comments: Table 4 shows the difference between the figures in the proposed model and the estimates from DDA</t>
  </si>
  <si>
    <t>Using the same hours per staff and the same number of individuals served, this results in a much lower number of staff and hours.</t>
  </si>
  <si>
    <t>The resulting costs per participant (or group) and transportation component percentage are much higher</t>
  </si>
  <si>
    <t>Table 5. Update Table 1 at a budget-neutral level using DDA Estimated Utilization</t>
  </si>
  <si>
    <t>Table 6. Update Table 2 at a budget-neutral level using DDA Estimated Utilization</t>
  </si>
  <si>
    <t>Comments: Table 5 has same methodology as Table 1, with two updates:</t>
  </si>
  <si>
    <t>Comments: Table 6 has same methodology as Table 2, with two updates:</t>
  </si>
  <si>
    <t>Table 3a. Use DDA Distribution Estimates &amp; Proposed Percentages</t>
  </si>
  <si>
    <t>Table 3b. Use DDA Distribution Estimates &amp; 25 % Overall</t>
  </si>
  <si>
    <r>
      <t xml:space="preserve">If the </t>
    </r>
    <r>
      <rPr>
        <i/>
        <u/>
        <sz val="14"/>
        <color rgb="FFC00000"/>
        <rFont val="Calibri"/>
        <family val="2"/>
        <scheme val="minor"/>
      </rPr>
      <t>service-specific</t>
    </r>
    <r>
      <rPr>
        <i/>
        <sz val="14"/>
        <color rgb="FFC00000"/>
        <rFont val="Calibri"/>
        <family val="2"/>
        <scheme val="minor"/>
      </rPr>
      <t xml:space="preserve"> percentages are held constant, the overall percentage is significantly higher.</t>
    </r>
  </si>
  <si>
    <r>
      <t xml:space="preserve">If the </t>
    </r>
    <r>
      <rPr>
        <i/>
        <u/>
        <sz val="14"/>
        <color rgb="FFC00000"/>
        <rFont val="Calibri"/>
        <family val="2"/>
        <scheme val="minor"/>
      </rPr>
      <t>overall</t>
    </r>
    <r>
      <rPr>
        <i/>
        <sz val="14"/>
        <color rgb="FFC00000"/>
        <rFont val="Calibri"/>
        <family val="2"/>
        <scheme val="minor"/>
      </rPr>
      <t xml:space="preserve"> percentage is held constant, the service-specific percentages fluctuate.</t>
    </r>
  </si>
  <si>
    <r>
      <t>Notes:</t>
    </r>
    <r>
      <rPr>
        <i/>
        <sz val="14"/>
        <color rgb="FFC00000"/>
        <rFont val="Calibri"/>
        <family val="2"/>
        <scheme val="minor"/>
      </rPr>
      <t xml:space="preserve"> In August 2021, MACS shared tables with DDA illustrating proposed alternative methodologies </t>
    </r>
  </si>
  <si>
    <t>for distribution of Transportation costs across services. Tables are provided here to facilitate discussion</t>
  </si>
  <si>
    <t>and understanding around the proposals and the current methodology.</t>
  </si>
  <si>
    <t>[A] Total DSP Service (Billable Hours)</t>
  </si>
  <si>
    <t>[B] Total DSP Transportation (Nonbillable Hours)</t>
  </si>
  <si>
    <t>[C] Transportation Costs for Day Hab</t>
  </si>
  <si>
    <r>
      <t>[A] / [B]</t>
    </r>
    <r>
      <rPr>
        <b/>
        <i/>
        <sz val="14"/>
        <color rgb="FF7030A0"/>
        <rFont val="Calibri"/>
        <family val="2"/>
        <scheme val="minor"/>
      </rPr>
      <t xml:space="preserve"> Transportation as a % of DSP billable wage</t>
    </r>
  </si>
  <si>
    <r>
      <t xml:space="preserve">[C]/# of participants </t>
    </r>
    <r>
      <rPr>
        <b/>
        <i/>
        <sz val="14"/>
        <color rgb="FF7030A0"/>
        <rFont val="Calibri"/>
        <family val="2"/>
        <scheme val="minor"/>
      </rPr>
      <t>Transportation Cost per Participant</t>
    </r>
  </si>
  <si>
    <t>"Current Rate Allocation"</t>
  </si>
  <si>
    <t>"Actual Cost Allocation"</t>
  </si>
  <si>
    <t>Implied Transportation Revenue per Group</t>
  </si>
  <si>
    <t>Comments: Provider revenue implied by Table 5 methodology</t>
  </si>
  <si>
    <t>Comments: Provider revenue implied by Table 6 methodology</t>
  </si>
  <si>
    <t xml:space="preserve">Comments: All figures are purely illustrative. </t>
  </si>
  <si>
    <t>Table 1 represents the MACS description of current methodology, but there are some important distinctions (ie. large group transp. comp. dollars are about 21% higher than small group).</t>
  </si>
  <si>
    <t>In Table 1, total group cost is split by number of people, resulting in:</t>
  </si>
  <si>
    <t>Lower per person rate in groups (that add, on average, back to the same total cost).</t>
  </si>
  <si>
    <t>Overall consistent transportation revenue across services.</t>
  </si>
  <si>
    <t>Table 2 represents the MACS proposed methodology.</t>
  </si>
  <si>
    <t>In Table 2, per person cost is held constant, resulting in:</t>
  </si>
  <si>
    <t>Average total transportation revenue that is lower for 1:1 and 2:1, but higher for groups.</t>
  </si>
  <si>
    <t>Group costs scale directly with # people. For example group size 3 means 3x transportation revenue.</t>
  </si>
  <si>
    <t>Transp. rev. equal for 1:1, small group size 3, and large group size 6.</t>
  </si>
  <si>
    <t>More revenue for more individuals in a group.</t>
  </si>
  <si>
    <t>Average total transp. rev. lower for 1:1 and 2:1, but higher for groups.</t>
  </si>
  <si>
    <t>Based on assumed service mix.</t>
  </si>
  <si>
    <t>Comments: Table 3a has same methodology as Table 2, with two updates:</t>
  </si>
  <si>
    <t>2. Proposed transportation % by service.</t>
  </si>
  <si>
    <t>1. Utilization distribution estimates from DDA.</t>
  </si>
  <si>
    <t>Comments: Table 3b has same methodology as Table 2, with two updates:</t>
  </si>
  <si>
    <t>For every 100 individuals served, DDA's estimates assume groups are more often utilized.</t>
  </si>
  <si>
    <t>For a "budget neutral" comparsion, these assumptions must be updated accordingly (fewer costs distributed).</t>
  </si>
  <si>
    <r>
      <t>[A] / [B]</t>
    </r>
    <r>
      <rPr>
        <b/>
        <i/>
        <sz val="14"/>
        <rFont val="Calibri"/>
        <family val="2"/>
        <scheme val="minor"/>
      </rPr>
      <t xml:space="preserve"> Transportation as a % of DSP billable wage</t>
    </r>
  </si>
  <si>
    <r>
      <t xml:space="preserve">[C]/# of participants </t>
    </r>
    <r>
      <rPr>
        <b/>
        <i/>
        <sz val="14"/>
        <rFont val="Calibri"/>
        <family val="2"/>
        <scheme val="minor"/>
      </rPr>
      <t>Transportation Cost per Participant</t>
    </r>
  </si>
  <si>
    <t>2. DSP hours scaled for "Budget Neutrality".</t>
  </si>
  <si>
    <t>This results in the same transportation revenue as Table 1.</t>
  </si>
  <si>
    <t>Transportation percentages shift by group as a result of the updated service mix assumptions.</t>
  </si>
  <si>
    <t>Large group is above the 25% average, all others below</t>
  </si>
  <si>
    <t>The resulting revenues are "budget neutral" by shifting transportation revenue from 2:1, 1:1, and small group into large group</t>
  </si>
  <si>
    <r>
      <t xml:space="preserve"> *Rate Model: </t>
    </r>
    <r>
      <rPr>
        <b/>
        <i/>
        <sz val="11"/>
        <color rgb="FFC00000"/>
        <rFont val="Calibri"/>
        <family val="2"/>
        <scheme val="minor"/>
      </rPr>
      <t>All</t>
    </r>
    <r>
      <rPr>
        <sz val="11"/>
        <color rgb="FFC00000"/>
        <rFont val="Calibri"/>
        <family val="2"/>
        <scheme val="minor"/>
      </rPr>
      <t xml:space="preserve"> </t>
    </r>
  </si>
  <si>
    <t>by staff/unit</t>
  </si>
  <si>
    <r>
      <t xml:space="preserve"> **MACS Proposed: Only </t>
    </r>
    <r>
      <rPr>
        <b/>
        <i/>
        <sz val="11"/>
        <color rgb="FFC00000"/>
        <rFont val="Calibri"/>
        <family val="2"/>
        <scheme val="minor"/>
      </rPr>
      <t>Fixed</t>
    </r>
    <r>
      <rPr>
        <sz val="11"/>
        <color rgb="FFC0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</si>
</sst>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_(* #,##0.0_);_(* \(#,##0.0\);_(* &quot;-&quot;??_);_(@_)"/>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i/>
      <sz val="14"/>
      <color theme="6" tint="-0.249977111117893"/>
      <name val="Calibri"/>
      <family val="2"/>
      <scheme val="minor"/>
    </font>
    <font>
      <i/>
      <sz val="14"/>
      <color theme="6" tint="-0.249977111117893"/>
      <name val="Calibri"/>
      <family val="2"/>
      <scheme val="minor"/>
    </font>
    <font>
      <sz val="14"/>
      <name val="Calibri"/>
      <family val="2"/>
      <scheme val="minor"/>
    </font>
    <font>
      <sz val="14"/>
      <color theme="1"/>
      <name val="Calibri"/>
      <family val="2"/>
      <scheme val="minor"/>
    </font>
    <font>
      <b/>
      <i/>
      <sz val="14"/>
      <color theme="1"/>
      <name val="Calibri"/>
      <family val="2"/>
      <scheme val="minor"/>
    </font>
    <font>
      <i/>
      <sz val="14"/>
      <color theme="1"/>
      <name val="Calibri"/>
      <family val="2"/>
      <scheme val="minor"/>
    </font>
    <font>
      <b/>
      <u/>
      <sz val="14"/>
      <color theme="1"/>
      <name val="Calibri"/>
      <family val="2"/>
      <scheme val="minor"/>
    </font>
    <font>
      <sz val="14"/>
      <color rgb="FFC00000"/>
      <name val="Calibri"/>
      <family val="2"/>
      <scheme val="minor"/>
    </font>
    <font>
      <b/>
      <sz val="14"/>
      <color rgb="FF7030A0"/>
      <name val="Calibri"/>
      <family val="2"/>
      <scheme val="minor"/>
    </font>
    <font>
      <sz val="14"/>
      <color rgb="FF7030A0"/>
      <name val="Calibri"/>
      <family val="2"/>
      <scheme val="minor"/>
    </font>
    <font>
      <sz val="11"/>
      <color rgb="FF7030A0"/>
      <name val="Calibri"/>
      <family val="2"/>
      <scheme val="minor"/>
    </font>
    <font>
      <i/>
      <sz val="14"/>
      <color rgb="FF7030A0"/>
      <name val="Calibri"/>
      <family val="2"/>
      <scheme val="minor"/>
    </font>
    <font>
      <b/>
      <sz val="14"/>
      <name val="Calibri"/>
      <family val="2"/>
      <scheme val="minor"/>
    </font>
    <font>
      <b/>
      <i/>
      <u/>
      <sz val="16"/>
      <color theme="1"/>
      <name val="Calibri"/>
      <family val="2"/>
      <scheme val="minor"/>
    </font>
    <font>
      <b/>
      <u/>
      <sz val="14"/>
      <name val="Calibri"/>
      <family val="2"/>
      <scheme val="minor"/>
    </font>
    <font>
      <sz val="14"/>
      <color rgb="FFFF0000"/>
      <name val="Calibri"/>
      <family val="2"/>
      <scheme val="minor"/>
    </font>
    <font>
      <i/>
      <sz val="14"/>
      <color rgb="FFFF0000"/>
      <name val="Calibri"/>
      <family val="2"/>
      <scheme val="minor"/>
    </font>
    <font>
      <b/>
      <u/>
      <sz val="11"/>
      <color theme="1"/>
      <name val="Calibri"/>
      <family val="2"/>
      <scheme val="minor"/>
    </font>
    <font>
      <i/>
      <sz val="14"/>
      <color theme="0" tint="-0.499984740745262"/>
      <name val="Calibri"/>
      <family val="2"/>
      <scheme val="minor"/>
    </font>
    <font>
      <b/>
      <sz val="14"/>
      <color rgb="FFFF0000"/>
      <name val="Calibri"/>
      <family val="2"/>
      <scheme val="minor"/>
    </font>
    <font>
      <b/>
      <i/>
      <sz val="14"/>
      <color rgb="FF7030A0"/>
      <name val="Calibri"/>
      <family val="2"/>
      <scheme val="minor"/>
    </font>
    <font>
      <u/>
      <sz val="14"/>
      <color theme="1"/>
      <name val="Calibri"/>
      <family val="2"/>
      <scheme val="minor"/>
    </font>
    <font>
      <i/>
      <u/>
      <sz val="14"/>
      <color theme="1"/>
      <name val="Calibri"/>
      <family val="2"/>
      <scheme val="minor"/>
    </font>
    <font>
      <i/>
      <sz val="9"/>
      <color theme="1"/>
      <name val="Calibri"/>
      <family val="2"/>
      <scheme val="minor"/>
    </font>
    <font>
      <sz val="11"/>
      <name val="Calibri"/>
      <family val="2"/>
      <scheme val="minor"/>
    </font>
    <font>
      <i/>
      <sz val="14"/>
      <name val="Calibri"/>
      <family val="2"/>
      <scheme val="minor"/>
    </font>
    <font>
      <b/>
      <i/>
      <sz val="11"/>
      <color theme="1"/>
      <name val="Calibri"/>
      <family val="2"/>
      <scheme val="minor"/>
    </font>
    <font>
      <b/>
      <sz val="11"/>
      <name val="Calibri"/>
      <family val="2"/>
      <scheme val="minor"/>
    </font>
    <font>
      <sz val="11"/>
      <color rgb="FFC00000"/>
      <name val="Calibri"/>
      <family val="2"/>
      <scheme val="minor"/>
    </font>
    <font>
      <b/>
      <sz val="14"/>
      <color rgb="FFC00000"/>
      <name val="Calibri"/>
      <family val="2"/>
      <scheme val="minor"/>
    </font>
    <font>
      <b/>
      <i/>
      <u/>
      <sz val="14"/>
      <color rgb="FFFF0000"/>
      <name val="Calibri"/>
      <family val="2"/>
      <scheme val="minor"/>
    </font>
    <font>
      <b/>
      <i/>
      <u/>
      <sz val="14"/>
      <color rgb="FFC00000"/>
      <name val="Calibri"/>
      <family val="2"/>
      <scheme val="minor"/>
    </font>
    <font>
      <i/>
      <sz val="14"/>
      <color rgb="FFC00000"/>
      <name val="Calibri"/>
      <family val="2"/>
      <scheme val="minor"/>
    </font>
    <font>
      <b/>
      <i/>
      <sz val="14"/>
      <color rgb="FFC00000"/>
      <name val="Calibri"/>
      <family val="2"/>
      <scheme val="minor"/>
    </font>
    <font>
      <b/>
      <u/>
      <sz val="14"/>
      <color rgb="FFC00000"/>
      <name val="Calibri"/>
      <family val="2"/>
      <scheme val="minor"/>
    </font>
    <font>
      <i/>
      <sz val="11"/>
      <color rgb="FFC00000"/>
      <name val="Calibri"/>
      <family val="2"/>
      <scheme val="minor"/>
    </font>
    <font>
      <b/>
      <i/>
      <sz val="14"/>
      <color theme="0" tint="-0.499984740745262"/>
      <name val="Calibri"/>
      <family val="2"/>
      <scheme val="minor"/>
    </font>
    <font>
      <b/>
      <i/>
      <sz val="14"/>
      <name val="Calibri"/>
      <family val="2"/>
      <scheme val="minor"/>
    </font>
    <font>
      <i/>
      <sz val="11"/>
      <name val="Calibri"/>
      <family val="2"/>
      <scheme val="minor"/>
    </font>
    <font>
      <b/>
      <i/>
      <sz val="11"/>
      <name val="Calibri"/>
      <family val="2"/>
      <scheme val="minor"/>
    </font>
    <font>
      <i/>
      <u/>
      <sz val="14"/>
      <color rgb="FFC00000"/>
      <name val="Calibri"/>
      <family val="2"/>
      <scheme val="minor"/>
    </font>
    <font>
      <b/>
      <i/>
      <sz val="11"/>
      <color rgb="FFC00000"/>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7" tint="0.59999389629810485"/>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02">
    <xf numFmtId="0" fontId="0" fillId="0" borderId="0" xfId="0"/>
    <xf numFmtId="0" fontId="0" fillId="2" borderId="0" xfId="0" applyFill="1"/>
    <xf numFmtId="0" fontId="3" fillId="3" borderId="1" xfId="0" applyFont="1" applyFill="1" applyBorder="1" applyAlignment="1">
      <alignment horizontal="centerContinuous"/>
    </xf>
    <xf numFmtId="0" fontId="3" fillId="3" borderId="2" xfId="0" applyFont="1" applyFill="1" applyBorder="1" applyAlignment="1">
      <alignment horizontal="centerContinuous"/>
    </xf>
    <xf numFmtId="164" fontId="3" fillId="3" borderId="3" xfId="3" applyNumberFormat="1" applyFont="1" applyFill="1" applyBorder="1" applyAlignment="1">
      <alignment horizontal="centerContinuous"/>
    </xf>
    <xf numFmtId="44" fontId="3" fillId="3" borderId="1" xfId="2" applyFont="1" applyFill="1" applyBorder="1" applyAlignment="1">
      <alignment horizontal="centerContinuous"/>
    </xf>
    <xf numFmtId="0" fontId="4" fillId="4" borderId="4" xfId="0" applyFont="1" applyFill="1" applyBorder="1" applyAlignment="1">
      <alignment horizontal="centerContinuous"/>
    </xf>
    <xf numFmtId="0" fontId="5" fillId="4" borderId="5" xfId="0" applyFont="1" applyFill="1" applyBorder="1" applyAlignment="1">
      <alignment horizontal="centerContinuous"/>
    </xf>
    <xf numFmtId="164" fontId="5" fillId="4" borderId="6" xfId="3" applyNumberFormat="1" applyFont="1" applyFill="1" applyBorder="1"/>
    <xf numFmtId="44" fontId="5" fillId="4" borderId="4" xfId="2" applyFont="1" applyFill="1" applyBorder="1"/>
    <xf numFmtId="0" fontId="3" fillId="2" borderId="7" xfId="0" applyFont="1" applyFill="1" applyBorder="1" applyAlignment="1">
      <alignment vertical="center"/>
    </xf>
    <xf numFmtId="0" fontId="6" fillId="2" borderId="8" xfId="0" applyFont="1" applyFill="1" applyBorder="1" applyAlignment="1">
      <alignment horizontal="left" wrapText="1"/>
    </xf>
    <xf numFmtId="164" fontId="7" fillId="2" borderId="0" xfId="3" applyNumberFormat="1" applyFont="1" applyFill="1" applyBorder="1" applyAlignment="1">
      <alignment vertical="center"/>
    </xf>
    <xf numFmtId="44" fontId="7" fillId="2" borderId="7" xfId="2" applyFont="1" applyFill="1" applyBorder="1"/>
    <xf numFmtId="0" fontId="7" fillId="2" borderId="8" xfId="0" applyFont="1" applyFill="1" applyBorder="1" applyAlignment="1">
      <alignment horizontal="left"/>
    </xf>
    <xf numFmtId="164" fontId="7" fillId="2" borderId="0" xfId="3" applyNumberFormat="1" applyFont="1" applyFill="1" applyBorder="1"/>
    <xf numFmtId="0" fontId="3" fillId="2" borderId="9" xfId="0" applyFont="1" applyFill="1" applyBorder="1" applyAlignment="1">
      <alignment vertical="center"/>
    </xf>
    <xf numFmtId="0" fontId="7" fillId="2" borderId="10" xfId="0" applyFont="1" applyFill="1" applyBorder="1" applyAlignment="1">
      <alignment horizontal="left"/>
    </xf>
    <xf numFmtId="164" fontId="7" fillId="2" borderId="11" xfId="3" applyNumberFormat="1" applyFont="1" applyFill="1" applyBorder="1"/>
    <xf numFmtId="44" fontId="7" fillId="2" borderId="9" xfId="2" applyFont="1" applyFill="1" applyBorder="1"/>
    <xf numFmtId="0" fontId="8" fillId="5" borderId="7" xfId="0" applyFont="1" applyFill="1" applyBorder="1" applyAlignment="1">
      <alignment horizontal="centerContinuous" vertical="center"/>
    </xf>
    <xf numFmtId="0" fontId="7" fillId="5" borderId="8" xfId="0" applyFont="1" applyFill="1" applyBorder="1" applyAlignment="1">
      <alignment horizontal="centerContinuous"/>
    </xf>
    <xf numFmtId="164" fontId="7" fillId="5" borderId="0" xfId="3" applyNumberFormat="1" applyFont="1" applyFill="1" applyBorder="1" applyAlignment="1">
      <alignment horizontal="centerContinuous"/>
    </xf>
    <xf numFmtId="44" fontId="8" fillId="5" borderId="7" xfId="2" applyFont="1" applyFill="1" applyBorder="1"/>
    <xf numFmtId="0" fontId="7" fillId="2" borderId="10" xfId="0" applyFont="1" applyFill="1" applyBorder="1" applyAlignment="1">
      <alignment horizontal="left" wrapText="1"/>
    </xf>
    <xf numFmtId="164" fontId="7" fillId="2" borderId="11" xfId="3" applyNumberFormat="1" applyFont="1" applyFill="1" applyBorder="1" applyAlignment="1">
      <alignment vertical="center"/>
    </xf>
    <xf numFmtId="43" fontId="7" fillId="2" borderId="12" xfId="1" applyFont="1" applyFill="1" applyBorder="1"/>
    <xf numFmtId="44" fontId="3" fillId="5" borderId="7" xfId="2" applyFont="1" applyFill="1" applyBorder="1"/>
    <xf numFmtId="164" fontId="7" fillId="2" borderId="12" xfId="3" applyNumberFormat="1" applyFont="1" applyFill="1" applyBorder="1"/>
    <xf numFmtId="0" fontId="8" fillId="5" borderId="13" xfId="0" applyFont="1" applyFill="1" applyBorder="1" applyAlignment="1">
      <alignment horizontal="centerContinuous" vertical="center"/>
    </xf>
    <xf numFmtId="0" fontId="7" fillId="5" borderId="14" xfId="0" applyFont="1" applyFill="1" applyBorder="1" applyAlignment="1">
      <alignment horizontal="centerContinuous"/>
    </xf>
    <xf numFmtId="164" fontId="7" fillId="5" borderId="15" xfId="3" applyNumberFormat="1" applyFont="1" applyFill="1" applyBorder="1" applyAlignment="1">
      <alignment horizontal="centerContinuous"/>
    </xf>
    <xf numFmtId="44" fontId="3" fillId="5" borderId="13" xfId="2" applyFont="1" applyFill="1" applyBorder="1"/>
    <xf numFmtId="0" fontId="9" fillId="2" borderId="0" xfId="0" applyFont="1" applyFill="1"/>
    <xf numFmtId="44" fontId="7" fillId="2" borderId="4" xfId="2" applyFont="1" applyFill="1" applyBorder="1"/>
    <xf numFmtId="44" fontId="7" fillId="6" borderId="4" xfId="2" applyFont="1" applyFill="1" applyBorder="1"/>
    <xf numFmtId="44" fontId="7" fillId="2" borderId="4" xfId="2" applyNumberFormat="1" applyFont="1" applyFill="1" applyBorder="1"/>
    <xf numFmtId="44" fontId="7" fillId="6" borderId="4" xfId="2" applyNumberFormat="1" applyFont="1" applyFill="1" applyBorder="1"/>
    <xf numFmtId="0" fontId="7" fillId="2" borderId="0" xfId="0" applyFont="1" applyFill="1" applyAlignment="1">
      <alignment horizontal="center"/>
    </xf>
    <xf numFmtId="0" fontId="7" fillId="2" borderId="0" xfId="0" applyFont="1" applyFill="1"/>
    <xf numFmtId="44" fontId="7" fillId="2" borderId="0" xfId="0" applyNumberFormat="1" applyFont="1" applyFill="1"/>
    <xf numFmtId="164" fontId="7" fillId="2" borderId="0" xfId="3" applyNumberFormat="1" applyFont="1" applyFill="1"/>
    <xf numFmtId="0" fontId="7" fillId="2" borderId="4" xfId="0" applyFont="1" applyFill="1" applyBorder="1" applyAlignment="1">
      <alignment horizontal="center"/>
    </xf>
    <xf numFmtId="0" fontId="7" fillId="2" borderId="4" xfId="0" applyFont="1" applyFill="1" applyBorder="1"/>
    <xf numFmtId="44" fontId="7" fillId="2" borderId="4" xfId="0" applyNumberFormat="1" applyFont="1" applyFill="1" applyBorder="1"/>
    <xf numFmtId="0" fontId="2" fillId="2" borderId="0" xfId="0" applyFont="1" applyFill="1"/>
    <xf numFmtId="0" fontId="7" fillId="2" borderId="0" xfId="0" applyFont="1" applyFill="1" applyBorder="1"/>
    <xf numFmtId="0" fontId="10" fillId="2" borderId="0" xfId="0" applyFont="1" applyFill="1" applyAlignment="1">
      <alignment horizontal="center"/>
    </xf>
    <xf numFmtId="0" fontId="7" fillId="2" borderId="0" xfId="0" applyFont="1" applyFill="1" applyAlignment="1">
      <alignment horizontal="right"/>
    </xf>
    <xf numFmtId="44" fontId="7" fillId="2" borderId="0" xfId="2" applyNumberFormat="1" applyFont="1" applyFill="1" applyAlignment="1">
      <alignment horizontal="center"/>
    </xf>
    <xf numFmtId="0" fontId="7" fillId="0" borderId="0" xfId="0" applyFont="1"/>
    <xf numFmtId="9" fontId="7" fillId="2" borderId="0" xfId="3" applyFont="1" applyFill="1"/>
    <xf numFmtId="0" fontId="3" fillId="2" borderId="0" xfId="0" applyFont="1" applyFill="1"/>
    <xf numFmtId="0" fontId="3" fillId="7" borderId="0" xfId="0" applyFont="1" applyFill="1" applyAlignment="1">
      <alignment horizontal="centerContinuous"/>
    </xf>
    <xf numFmtId="0" fontId="3" fillId="8" borderId="4" xfId="0" applyFont="1" applyFill="1" applyBorder="1" applyAlignment="1">
      <alignment horizontal="center"/>
    </xf>
    <xf numFmtId="0" fontId="3" fillId="3" borderId="4" xfId="0" applyFont="1" applyFill="1" applyBorder="1" applyAlignment="1">
      <alignment horizontal="centerContinuous"/>
    </xf>
    <xf numFmtId="0" fontId="3" fillId="9" borderId="4" xfId="0" applyFont="1" applyFill="1" applyBorder="1" applyAlignment="1">
      <alignment horizontal="center"/>
    </xf>
    <xf numFmtId="0" fontId="7" fillId="2" borderId="1" xfId="0" applyFont="1" applyFill="1" applyBorder="1"/>
    <xf numFmtId="0" fontId="7" fillId="2" borderId="1" xfId="0" applyFont="1" applyFill="1" applyBorder="1" applyAlignment="1">
      <alignment horizontal="center"/>
    </xf>
    <xf numFmtId="0" fontId="7" fillId="2" borderId="7" xfId="0" applyFont="1" applyFill="1" applyBorder="1"/>
    <xf numFmtId="0" fontId="7" fillId="2" borderId="7" xfId="0" applyFont="1" applyFill="1" applyBorder="1" applyAlignment="1">
      <alignment horizontal="center"/>
    </xf>
    <xf numFmtId="0" fontId="7" fillId="2" borderId="13" xfId="0" applyFont="1" applyFill="1" applyBorder="1"/>
    <xf numFmtId="0" fontId="7" fillId="2" borderId="13" xfId="0" applyFont="1" applyFill="1" applyBorder="1" applyAlignment="1">
      <alignment horizontal="center"/>
    </xf>
    <xf numFmtId="44" fontId="7" fillId="2" borderId="4" xfId="2" applyFont="1" applyFill="1" applyBorder="1" applyAlignment="1">
      <alignment horizontal="center"/>
    </xf>
    <xf numFmtId="44" fontId="7" fillId="2" borderId="1" xfId="2" applyFont="1" applyFill="1" applyBorder="1" applyAlignment="1">
      <alignment horizontal="center"/>
    </xf>
    <xf numFmtId="44" fontId="7" fillId="2" borderId="7" xfId="2" applyFont="1" applyFill="1" applyBorder="1" applyAlignment="1">
      <alignment horizontal="center"/>
    </xf>
    <xf numFmtId="44" fontId="7" fillId="2" borderId="13" xfId="2" applyFont="1" applyFill="1" applyBorder="1" applyAlignment="1">
      <alignment horizontal="center"/>
    </xf>
    <xf numFmtId="0" fontId="3" fillId="7" borderId="5" xfId="0" applyFont="1" applyFill="1" applyBorder="1" applyAlignment="1">
      <alignment horizontal="centerContinuous"/>
    </xf>
    <xf numFmtId="43" fontId="0" fillId="2" borderId="0" xfId="1" applyFont="1" applyFill="1"/>
    <xf numFmtId="43" fontId="7" fillId="2" borderId="4" xfId="1" applyFont="1" applyFill="1" applyBorder="1" applyAlignment="1">
      <alignment horizontal="center"/>
    </xf>
    <xf numFmtId="43" fontId="7" fillId="2" borderId="1" xfId="1" applyFont="1" applyFill="1" applyBorder="1" applyAlignment="1">
      <alignment horizontal="center"/>
    </xf>
    <xf numFmtId="43" fontId="7" fillId="2" borderId="7" xfId="1" applyFont="1" applyFill="1" applyBorder="1" applyAlignment="1">
      <alignment horizontal="center"/>
    </xf>
    <xf numFmtId="43" fontId="7" fillId="2" borderId="13" xfId="1" applyFont="1" applyFill="1" applyBorder="1" applyAlignment="1">
      <alignment horizontal="center"/>
    </xf>
    <xf numFmtId="0" fontId="0" fillId="7" borderId="16" xfId="0" applyFill="1" applyBorder="1" applyAlignment="1">
      <alignment horizontal="centerContinuous"/>
    </xf>
    <xf numFmtId="44" fontId="7" fillId="2" borderId="0" xfId="2" applyFont="1" applyFill="1" applyBorder="1" applyAlignment="1">
      <alignment horizontal="center"/>
    </xf>
    <xf numFmtId="0" fontId="7" fillId="2" borderId="0" xfId="0" applyFont="1" applyFill="1" applyBorder="1" applyAlignment="1">
      <alignment horizontal="center"/>
    </xf>
    <xf numFmtId="43" fontId="7" fillId="2" borderId="0" xfId="1" applyFont="1" applyFill="1" applyBorder="1" applyAlignment="1">
      <alignment horizontal="center"/>
    </xf>
    <xf numFmtId="164" fontId="7" fillId="2" borderId="0" xfId="3" applyNumberFormat="1" applyFont="1" applyFill="1" applyBorder="1" applyAlignment="1">
      <alignment horizontal="center"/>
    </xf>
    <xf numFmtId="9" fontId="7" fillId="2" borderId="0" xfId="3" applyFont="1" applyFill="1" applyBorder="1" applyAlignment="1">
      <alignment horizontal="center"/>
    </xf>
    <xf numFmtId="0" fontId="7" fillId="2" borderId="0" xfId="0" applyFont="1" applyFill="1" applyAlignment="1">
      <alignment horizontal="left" indent="1"/>
    </xf>
    <xf numFmtId="0" fontId="3" fillId="7" borderId="5" xfId="0" applyFont="1" applyFill="1" applyBorder="1" applyAlignment="1">
      <alignment horizontal="centerContinuous" vertical="center"/>
    </xf>
    <xf numFmtId="0" fontId="2" fillId="7" borderId="16" xfId="0" applyFont="1" applyFill="1" applyBorder="1" applyAlignment="1">
      <alignment horizontal="centerContinuous" vertical="center"/>
    </xf>
    <xf numFmtId="0" fontId="12" fillId="2" borderId="0" xfId="0" applyFont="1" applyFill="1"/>
    <xf numFmtId="0" fontId="13" fillId="2" borderId="0" xfId="0" applyFont="1" applyFill="1"/>
    <xf numFmtId="0" fontId="12" fillId="7" borderId="4" xfId="0" applyFont="1" applyFill="1" applyBorder="1" applyAlignment="1">
      <alignment horizontal="centerContinuous"/>
    </xf>
    <xf numFmtId="0" fontId="12" fillId="9" borderId="4" xfId="0" applyFont="1" applyFill="1" applyBorder="1" applyAlignment="1">
      <alignment horizontal="center"/>
    </xf>
    <xf numFmtId="0" fontId="13" fillId="2" borderId="4" xfId="0" applyFont="1" applyFill="1" applyBorder="1"/>
    <xf numFmtId="0" fontId="13" fillId="2" borderId="4" xfId="0" applyFont="1" applyFill="1" applyBorder="1" applyAlignment="1">
      <alignment horizontal="center"/>
    </xf>
    <xf numFmtId="44" fontId="13" fillId="2" borderId="4" xfId="2" applyFont="1" applyFill="1" applyBorder="1" applyAlignment="1">
      <alignment horizontal="center"/>
    </xf>
    <xf numFmtId="0" fontId="13" fillId="2" borderId="1" xfId="0" applyFont="1" applyFill="1" applyBorder="1"/>
    <xf numFmtId="0" fontId="13" fillId="2" borderId="1" xfId="0" applyFont="1" applyFill="1" applyBorder="1" applyAlignment="1">
      <alignment horizontal="center"/>
    </xf>
    <xf numFmtId="44" fontId="13" fillId="2" borderId="1" xfId="2" applyFont="1" applyFill="1" applyBorder="1" applyAlignment="1">
      <alignment horizontal="center"/>
    </xf>
    <xf numFmtId="0" fontId="13" fillId="2" borderId="7" xfId="0" applyFont="1" applyFill="1" applyBorder="1"/>
    <xf numFmtId="0" fontId="13" fillId="2" borderId="7" xfId="0" applyFont="1" applyFill="1" applyBorder="1" applyAlignment="1">
      <alignment horizontal="center"/>
    </xf>
    <xf numFmtId="44" fontId="13" fillId="2" borderId="7" xfId="2" applyFont="1" applyFill="1" applyBorder="1" applyAlignment="1">
      <alignment horizontal="center"/>
    </xf>
    <xf numFmtId="0" fontId="13" fillId="2" borderId="13" xfId="0" applyFont="1" applyFill="1" applyBorder="1"/>
    <xf numFmtId="0" fontId="13" fillId="2" borderId="13" xfId="0" applyFont="1" applyFill="1" applyBorder="1" applyAlignment="1">
      <alignment horizontal="center"/>
    </xf>
    <xf numFmtId="44" fontId="13" fillId="2" borderId="13" xfId="2" applyFont="1" applyFill="1" applyBorder="1" applyAlignment="1">
      <alignment horizontal="center"/>
    </xf>
    <xf numFmtId="0" fontId="13" fillId="2" borderId="0" xfId="0" applyFont="1" applyFill="1" applyBorder="1"/>
    <xf numFmtId="0" fontId="14" fillId="2" borderId="0" xfId="0" applyFont="1" applyFill="1"/>
    <xf numFmtId="0" fontId="12" fillId="9" borderId="4" xfId="0" applyFont="1" applyFill="1" applyBorder="1" applyAlignment="1">
      <alignment horizontal="centerContinuous"/>
    </xf>
    <xf numFmtId="0" fontId="13" fillId="2" borderId="1" xfId="0" applyFont="1" applyFill="1" applyBorder="1" applyAlignment="1">
      <alignment horizontal="left"/>
    </xf>
    <xf numFmtId="9" fontId="13" fillId="2" borderId="1" xfId="0" applyNumberFormat="1" applyFont="1" applyFill="1" applyBorder="1" applyAlignment="1">
      <alignment horizontal="center"/>
    </xf>
    <xf numFmtId="0" fontId="13" fillId="2" borderId="7" xfId="0" applyFont="1" applyFill="1" applyBorder="1" applyAlignment="1">
      <alignment horizontal="left"/>
    </xf>
    <xf numFmtId="9" fontId="13" fillId="2" borderId="7" xfId="0" applyNumberFormat="1" applyFont="1" applyFill="1" applyBorder="1" applyAlignment="1">
      <alignment horizontal="center"/>
    </xf>
    <xf numFmtId="0" fontId="13" fillId="2" borderId="13" xfId="0" applyFont="1" applyFill="1" applyBorder="1" applyAlignment="1">
      <alignment horizontal="left"/>
    </xf>
    <xf numFmtId="9" fontId="13" fillId="2" borderId="13" xfId="0" applyNumberFormat="1" applyFont="1" applyFill="1" applyBorder="1" applyAlignment="1">
      <alignment horizontal="center"/>
    </xf>
    <xf numFmtId="166" fontId="13" fillId="2" borderId="0" xfId="0" applyNumberFormat="1" applyFont="1" applyFill="1"/>
    <xf numFmtId="0" fontId="15" fillId="2" borderId="7" xfId="0" applyFont="1" applyFill="1" applyBorder="1" applyAlignment="1">
      <alignment horizontal="right"/>
    </xf>
    <xf numFmtId="166" fontId="13" fillId="2" borderId="7" xfId="1" applyNumberFormat="1" applyFont="1" applyFill="1" applyBorder="1"/>
    <xf numFmtId="165" fontId="13" fillId="2" borderId="7" xfId="2" applyNumberFormat="1" applyFont="1" applyFill="1" applyBorder="1"/>
    <xf numFmtId="0" fontId="13" fillId="2" borderId="0" xfId="0" applyFont="1" applyFill="1" applyAlignment="1">
      <alignment horizontal="right"/>
    </xf>
    <xf numFmtId="9" fontId="13" fillId="2" borderId="7" xfId="3" applyFont="1" applyFill="1" applyBorder="1"/>
    <xf numFmtId="165" fontId="13" fillId="2" borderId="13" xfId="2" applyNumberFormat="1" applyFont="1" applyFill="1" applyBorder="1"/>
    <xf numFmtId="0" fontId="6" fillId="2" borderId="0" xfId="0" applyFont="1" applyFill="1"/>
    <xf numFmtId="165" fontId="6" fillId="2" borderId="13" xfId="2" applyNumberFormat="1" applyFont="1" applyFill="1" applyBorder="1"/>
    <xf numFmtId="0" fontId="3" fillId="8" borderId="4" xfId="0" applyFont="1" applyFill="1" applyBorder="1" applyAlignment="1">
      <alignment horizontal="centerContinuous"/>
    </xf>
    <xf numFmtId="166" fontId="6" fillId="2" borderId="7" xfId="1" applyNumberFormat="1" applyFont="1" applyFill="1" applyBorder="1"/>
    <xf numFmtId="0" fontId="11" fillId="2" borderId="0" xfId="0" applyFont="1" applyFill="1"/>
    <xf numFmtId="0" fontId="3" fillId="11" borderId="7" xfId="0" applyFont="1" applyFill="1" applyBorder="1" applyAlignment="1">
      <alignment vertical="center"/>
    </xf>
    <xf numFmtId="0" fontId="7" fillId="11" borderId="8" xfId="0" applyFont="1" applyFill="1" applyBorder="1" applyAlignment="1">
      <alignment horizontal="left"/>
    </xf>
    <xf numFmtId="43" fontId="7" fillId="11" borderId="0" xfId="1" applyFont="1" applyFill="1" applyBorder="1"/>
    <xf numFmtId="44" fontId="7" fillId="11" borderId="7" xfId="2" applyFont="1" applyFill="1" applyBorder="1"/>
    <xf numFmtId="0" fontId="7" fillId="7" borderId="0" xfId="0" applyFont="1" applyFill="1" applyAlignment="1">
      <alignment horizontal="centerContinuous"/>
    </xf>
    <xf numFmtId="0" fontId="7" fillId="12" borderId="0" xfId="0" applyFont="1" applyFill="1"/>
    <xf numFmtId="0" fontId="7" fillId="12" borderId="0" xfId="0" applyFont="1" applyFill="1" applyAlignment="1">
      <alignment horizontal="center"/>
    </xf>
    <xf numFmtId="0" fontId="7" fillId="10" borderId="0" xfId="0" applyFont="1" applyFill="1"/>
    <xf numFmtId="0" fontId="7" fillId="10" borderId="0" xfId="0" applyFont="1" applyFill="1" applyAlignment="1">
      <alignment horizontal="left" indent="4"/>
    </xf>
    <xf numFmtId="0" fontId="7" fillId="10" borderId="17" xfId="0" applyFont="1" applyFill="1" applyBorder="1"/>
    <xf numFmtId="0" fontId="7" fillId="10" borderId="0" xfId="0" applyFont="1" applyFill="1" applyAlignment="1">
      <alignment horizontal="center"/>
    </xf>
    <xf numFmtId="0" fontId="7" fillId="9" borderId="0" xfId="0" applyFont="1" applyFill="1"/>
    <xf numFmtId="0" fontId="7" fillId="9" borderId="0" xfId="0" applyFont="1" applyFill="1" applyAlignment="1">
      <alignment horizontal="left" indent="4"/>
    </xf>
    <xf numFmtId="0" fontId="7" fillId="9" borderId="17" xfId="0" applyFont="1" applyFill="1" applyBorder="1"/>
    <xf numFmtId="0" fontId="7" fillId="9" borderId="0" xfId="0" applyFont="1" applyFill="1" applyAlignment="1">
      <alignment horizontal="center"/>
    </xf>
    <xf numFmtId="0" fontId="7" fillId="9" borderId="0" xfId="0" applyFont="1" applyFill="1" applyAlignment="1">
      <alignment horizontal="left" indent="2"/>
    </xf>
    <xf numFmtId="0" fontId="7" fillId="10" borderId="0" xfId="0" applyFont="1" applyFill="1" applyAlignment="1">
      <alignment horizontal="left" indent="2"/>
    </xf>
    <xf numFmtId="49" fontId="17" fillId="2" borderId="0" xfId="0" applyNumberFormat="1" applyFont="1" applyFill="1"/>
    <xf numFmtId="165" fontId="13" fillId="2" borderId="0" xfId="2" applyNumberFormat="1" applyFont="1" applyFill="1" applyBorder="1"/>
    <xf numFmtId="166" fontId="13" fillId="2" borderId="0" xfId="1" applyNumberFormat="1" applyFont="1" applyFill="1" applyBorder="1"/>
    <xf numFmtId="166" fontId="6" fillId="2" borderId="0" xfId="1" applyNumberFormat="1" applyFont="1" applyFill="1" applyBorder="1"/>
    <xf numFmtId="0" fontId="7" fillId="2" borderId="0" xfId="0" applyFont="1" applyFill="1" applyBorder="1" applyAlignment="1">
      <alignment horizontal="centerContinuous"/>
    </xf>
    <xf numFmtId="164" fontId="7" fillId="2" borderId="0" xfId="3" applyNumberFormat="1" applyFont="1" applyFill="1" applyBorder="1" applyAlignment="1">
      <alignment horizontal="centerContinuous"/>
    </xf>
    <xf numFmtId="44" fontId="3" fillId="2" borderId="0" xfId="2" applyFont="1" applyFill="1" applyBorder="1"/>
    <xf numFmtId="0" fontId="19" fillId="2" borderId="0" xfId="0" applyFont="1" applyFill="1"/>
    <xf numFmtId="0" fontId="20" fillId="2" borderId="0" xfId="0" applyFont="1" applyFill="1"/>
    <xf numFmtId="0" fontId="22" fillId="2" borderId="0" xfId="0" applyFont="1" applyFill="1"/>
    <xf numFmtId="0" fontId="3" fillId="9" borderId="4" xfId="0" applyFont="1" applyFill="1" applyBorder="1" applyAlignment="1">
      <alignment horizontal="center" vertical="center"/>
    </xf>
    <xf numFmtId="0" fontId="23" fillId="9" borderId="4" xfId="0" applyFont="1" applyFill="1" applyBorder="1" applyAlignment="1">
      <alignment horizontal="center" vertical="center" wrapText="1"/>
    </xf>
    <xf numFmtId="0" fontId="0" fillId="2" borderId="0" xfId="0" applyFill="1" applyAlignment="1">
      <alignment vertical="center"/>
    </xf>
    <xf numFmtId="0" fontId="0" fillId="2" borderId="0" xfId="0" applyFill="1" applyAlignment="1">
      <alignment horizontal="left" indent="1"/>
    </xf>
    <xf numFmtId="44" fontId="8" fillId="2" borderId="4" xfId="2" applyFont="1" applyFill="1" applyBorder="1" applyAlignment="1">
      <alignment horizontal="center"/>
    </xf>
    <xf numFmtId="44" fontId="8" fillId="2" borderId="1" xfId="2" applyFont="1" applyFill="1" applyBorder="1" applyAlignment="1">
      <alignment horizontal="center"/>
    </xf>
    <xf numFmtId="44" fontId="8" fillId="2" borderId="7" xfId="2" applyFont="1" applyFill="1" applyBorder="1" applyAlignment="1">
      <alignment horizontal="center"/>
    </xf>
    <xf numFmtId="44" fontId="8" fillId="2" borderId="13" xfId="2" applyFont="1" applyFill="1" applyBorder="1" applyAlignment="1">
      <alignment horizontal="center"/>
    </xf>
    <xf numFmtId="0" fontId="0" fillId="2" borderId="0" xfId="0" applyFill="1" applyBorder="1"/>
    <xf numFmtId="0" fontId="21" fillId="0" borderId="0" xfId="0" quotePrefix="1" applyFont="1" applyFill="1"/>
    <xf numFmtId="0" fontId="7" fillId="2" borderId="0" xfId="0" quotePrefix="1" applyFont="1" applyFill="1"/>
    <xf numFmtId="0" fontId="7" fillId="6" borderId="4" xfId="0" applyFont="1" applyFill="1" applyBorder="1"/>
    <xf numFmtId="44" fontId="7" fillId="6" borderId="5" xfId="2" applyFont="1" applyFill="1" applyBorder="1"/>
    <xf numFmtId="44" fontId="7" fillId="6" borderId="5" xfId="2" applyNumberFormat="1" applyFont="1" applyFill="1" applyBorder="1"/>
    <xf numFmtId="0" fontId="3" fillId="8" borderId="1" xfId="0" applyFont="1" applyFill="1" applyBorder="1" applyAlignment="1">
      <alignment horizontal="centerContinuous"/>
    </xf>
    <xf numFmtId="0" fontId="8" fillId="5" borderId="4" xfId="0" applyFont="1" applyFill="1" applyBorder="1" applyAlignment="1">
      <alignment horizontal="centerContinuous" vertical="center"/>
    </xf>
    <xf numFmtId="44" fontId="3" fillId="15" borderId="4" xfId="2" applyFont="1" applyFill="1" applyBorder="1" applyAlignment="1">
      <alignment horizontal="centerContinuous"/>
    </xf>
    <xf numFmtId="0" fontId="15" fillId="2" borderId="1" xfId="0" applyFont="1" applyFill="1" applyBorder="1" applyAlignment="1">
      <alignment horizontal="right"/>
    </xf>
    <xf numFmtId="0" fontId="15" fillId="6" borderId="4" xfId="0" applyFont="1" applyFill="1" applyBorder="1" applyAlignment="1">
      <alignment horizontal="right"/>
    </xf>
    <xf numFmtId="0" fontId="3" fillId="2" borderId="8" xfId="0" applyFont="1" applyFill="1" applyBorder="1" applyAlignment="1">
      <alignment vertical="center"/>
    </xf>
    <xf numFmtId="164" fontId="7" fillId="2" borderId="8" xfId="3" applyNumberFormat="1" applyFont="1" applyFill="1" applyBorder="1"/>
    <xf numFmtId="0" fontId="8" fillId="6" borderId="5" xfId="0" applyFont="1" applyFill="1" applyBorder="1" applyAlignment="1">
      <alignment horizontal="centerContinuous" vertical="center"/>
    </xf>
    <xf numFmtId="0" fontId="3" fillId="8" borderId="2" xfId="0" applyFont="1" applyFill="1" applyBorder="1" applyAlignment="1">
      <alignment horizontal="centerContinuous"/>
    </xf>
    <xf numFmtId="44" fontId="7" fillId="2" borderId="7" xfId="2" applyNumberFormat="1" applyFont="1" applyFill="1" applyBorder="1"/>
    <xf numFmtId="0" fontId="15" fillId="10" borderId="7" xfId="0" applyFont="1" applyFill="1" applyBorder="1" applyAlignment="1">
      <alignment horizontal="right"/>
    </xf>
    <xf numFmtId="0" fontId="3" fillId="10" borderId="8" xfId="0" applyFont="1" applyFill="1" applyBorder="1" applyAlignment="1">
      <alignment vertical="center"/>
    </xf>
    <xf numFmtId="164" fontId="7" fillId="10" borderId="8" xfId="3" applyNumberFormat="1" applyFont="1" applyFill="1" applyBorder="1"/>
    <xf numFmtId="44" fontId="7" fillId="10" borderId="7" xfId="2" applyFont="1" applyFill="1" applyBorder="1"/>
    <xf numFmtId="44" fontId="7" fillId="10" borderId="7" xfId="2" applyNumberFormat="1" applyFont="1" applyFill="1" applyBorder="1"/>
    <xf numFmtId="0" fontId="15" fillId="10" borderId="13" xfId="0" applyFont="1" applyFill="1" applyBorder="1" applyAlignment="1">
      <alignment horizontal="right"/>
    </xf>
    <xf numFmtId="0" fontId="3" fillId="10" borderId="14" xfId="0" applyFont="1" applyFill="1" applyBorder="1" applyAlignment="1">
      <alignment vertical="center"/>
    </xf>
    <xf numFmtId="164" fontId="7" fillId="10" borderId="14" xfId="3" applyNumberFormat="1" applyFont="1" applyFill="1" applyBorder="1"/>
    <xf numFmtId="44" fontId="7" fillId="10" borderId="13" xfId="2" applyFont="1" applyFill="1" applyBorder="1"/>
    <xf numFmtId="44" fontId="7" fillId="10" borderId="13" xfId="2" applyNumberFormat="1" applyFont="1" applyFill="1" applyBorder="1"/>
    <xf numFmtId="0" fontId="3" fillId="2" borderId="4" xfId="0" applyFont="1" applyFill="1" applyBorder="1" applyAlignment="1">
      <alignment vertical="center"/>
    </xf>
    <xf numFmtId="0" fontId="10" fillId="2" borderId="0" xfId="0" applyFont="1" applyFill="1" applyAlignment="1">
      <alignment horizontal="left"/>
    </xf>
    <xf numFmtId="0" fontId="27" fillId="2" borderId="0" xfId="0" applyFont="1" applyFill="1" applyAlignment="1">
      <alignment horizontal="center" vertical="top"/>
    </xf>
    <xf numFmtId="0" fontId="8" fillId="2" borderId="0" xfId="0" applyFont="1" applyFill="1" applyBorder="1" applyAlignment="1">
      <alignment horizontal="centerContinuous" vertical="center"/>
    </xf>
    <xf numFmtId="0" fontId="10" fillId="0" borderId="0" xfId="0" quotePrefix="1" applyFont="1" applyFill="1"/>
    <xf numFmtId="0" fontId="0" fillId="16" borderId="20" xfId="0" applyFill="1" applyBorder="1"/>
    <xf numFmtId="0" fontId="13" fillId="16" borderId="21" xfId="0" applyFont="1" applyFill="1" applyBorder="1"/>
    <xf numFmtId="0" fontId="0" fillId="16" borderId="21" xfId="0" applyFill="1" applyBorder="1"/>
    <xf numFmtId="0" fontId="0" fillId="16" borderId="23" xfId="0" applyFill="1" applyBorder="1"/>
    <xf numFmtId="0" fontId="12" fillId="16" borderId="0" xfId="0" applyFont="1" applyFill="1" applyBorder="1"/>
    <xf numFmtId="0" fontId="0" fillId="16" borderId="0" xfId="0" applyFill="1" applyBorder="1"/>
    <xf numFmtId="0" fontId="13" fillId="16" borderId="22" xfId="0" applyFont="1" applyFill="1" applyBorder="1"/>
    <xf numFmtId="0" fontId="13" fillId="16" borderId="24" xfId="0" applyFont="1" applyFill="1" applyBorder="1"/>
    <xf numFmtId="0" fontId="13" fillId="16" borderId="27" xfId="0" applyFont="1" applyFill="1" applyBorder="1"/>
    <xf numFmtId="0" fontId="0" fillId="16" borderId="25" xfId="0" applyFill="1" applyBorder="1"/>
    <xf numFmtId="0" fontId="13" fillId="16" borderId="26" xfId="0" applyFont="1" applyFill="1" applyBorder="1"/>
    <xf numFmtId="0" fontId="12" fillId="2" borderId="0" xfId="0" applyFont="1" applyFill="1" applyAlignment="1">
      <alignment vertical="center"/>
    </xf>
    <xf numFmtId="0" fontId="13" fillId="2" borderId="0" xfId="0" applyFont="1" applyFill="1" applyAlignment="1">
      <alignment vertical="center"/>
    </xf>
    <xf numFmtId="0" fontId="12" fillId="7" borderId="4" xfId="0" applyFont="1" applyFill="1" applyBorder="1" applyAlignment="1">
      <alignment horizontal="center"/>
    </xf>
    <xf numFmtId="44" fontId="24" fillId="9" borderId="4" xfId="2" applyFont="1" applyFill="1" applyBorder="1" applyAlignment="1">
      <alignment horizontal="center"/>
    </xf>
    <xf numFmtId="44" fontId="24" fillId="9" borderId="1" xfId="2" applyFont="1" applyFill="1" applyBorder="1" applyAlignment="1">
      <alignment horizontal="center"/>
    </xf>
    <xf numFmtId="44" fontId="24" fillId="9" borderId="7" xfId="2" applyFont="1" applyFill="1" applyBorder="1" applyAlignment="1">
      <alignment horizontal="center"/>
    </xf>
    <xf numFmtId="44" fontId="24" fillId="9" borderId="13" xfId="2" applyFont="1" applyFill="1" applyBorder="1" applyAlignment="1">
      <alignment horizontal="center"/>
    </xf>
    <xf numFmtId="0" fontId="8" fillId="9" borderId="4" xfId="0" applyFont="1" applyFill="1" applyBorder="1" applyAlignment="1">
      <alignment horizontal="center" vertical="center" wrapText="1"/>
    </xf>
    <xf numFmtId="0" fontId="28" fillId="2" borderId="0" xfId="0" applyFont="1" applyFill="1"/>
    <xf numFmtId="0" fontId="29" fillId="2" borderId="0" xfId="0" applyFont="1" applyFill="1"/>
    <xf numFmtId="0" fontId="8" fillId="13" borderId="4" xfId="0" applyFont="1" applyFill="1" applyBorder="1" applyAlignment="1">
      <alignment horizontal="centerContinuous" vertical="center"/>
    </xf>
    <xf numFmtId="0" fontId="16" fillId="7" borderId="4" xfId="0" applyFont="1" applyFill="1" applyBorder="1" applyAlignment="1">
      <alignment horizontal="center"/>
    </xf>
    <xf numFmtId="0" fontId="6" fillId="2" borderId="4" xfId="0" applyFont="1" applyFill="1" applyBorder="1"/>
    <xf numFmtId="0" fontId="6" fillId="2" borderId="1" xfId="0" applyFont="1" applyFill="1" applyBorder="1"/>
    <xf numFmtId="0" fontId="6" fillId="2" borderId="7" xfId="0" applyFont="1" applyFill="1" applyBorder="1"/>
    <xf numFmtId="0" fontId="6" fillId="2" borderId="13" xfId="0" applyFont="1" applyFill="1" applyBorder="1"/>
    <xf numFmtId="0" fontId="8" fillId="10" borderId="4" xfId="0" applyFont="1" applyFill="1" applyBorder="1" applyAlignment="1">
      <alignment horizontal="centerContinuous" vertical="center"/>
    </xf>
    <xf numFmtId="44" fontId="24" fillId="10" borderId="4" xfId="2" applyFont="1" applyFill="1" applyBorder="1" applyAlignment="1">
      <alignment horizontal="center"/>
    </xf>
    <xf numFmtId="44" fontId="24" fillId="10" borderId="1" xfId="2" applyFont="1" applyFill="1" applyBorder="1" applyAlignment="1">
      <alignment horizontal="center"/>
    </xf>
    <xf numFmtId="44" fontId="24" fillId="10" borderId="7" xfId="2" applyFont="1" applyFill="1" applyBorder="1" applyAlignment="1">
      <alignment horizontal="center"/>
    </xf>
    <xf numFmtId="44" fontId="24" fillId="10" borderId="13" xfId="2" applyFont="1" applyFill="1" applyBorder="1" applyAlignment="1">
      <alignment horizontal="center"/>
    </xf>
    <xf numFmtId="0" fontId="30" fillId="2" borderId="0" xfId="0" applyFont="1" applyFill="1"/>
    <xf numFmtId="0" fontId="16" fillId="2" borderId="0" xfId="0" applyFont="1" applyFill="1"/>
    <xf numFmtId="0" fontId="16" fillId="7" borderId="5" xfId="0" applyFont="1" applyFill="1" applyBorder="1" applyAlignment="1">
      <alignment horizontal="centerContinuous"/>
    </xf>
    <xf numFmtId="0" fontId="31" fillId="7" borderId="16" xfId="0" applyFont="1" applyFill="1" applyBorder="1" applyAlignment="1">
      <alignment horizontal="centerContinuous"/>
    </xf>
    <xf numFmtId="0" fontId="16" fillId="16" borderId="20" xfId="0" applyFont="1" applyFill="1" applyBorder="1"/>
    <xf numFmtId="0" fontId="30" fillId="16" borderId="21" xfId="0" applyFont="1" applyFill="1" applyBorder="1"/>
    <xf numFmtId="0" fontId="0" fillId="16" borderId="22" xfId="0" applyFill="1" applyBorder="1"/>
    <xf numFmtId="0" fontId="0" fillId="16" borderId="23" xfId="0" applyFill="1" applyBorder="1" applyAlignment="1">
      <alignment vertical="center"/>
    </xf>
    <xf numFmtId="0" fontId="7" fillId="16" borderId="26" xfId="0" applyFont="1" applyFill="1" applyBorder="1"/>
    <xf numFmtId="0" fontId="7" fillId="16" borderId="26" xfId="0" applyFont="1" applyFill="1" applyBorder="1" applyAlignment="1">
      <alignment horizontal="center"/>
    </xf>
    <xf numFmtId="44" fontId="7" fillId="16" borderId="26" xfId="2" applyFont="1" applyFill="1" applyBorder="1" applyAlignment="1">
      <alignment horizontal="center"/>
    </xf>
    <xf numFmtId="43" fontId="7" fillId="16" borderId="26" xfId="1" applyFont="1" applyFill="1" applyBorder="1" applyAlignment="1">
      <alignment horizontal="center"/>
    </xf>
    <xf numFmtId="44" fontId="7" fillId="16" borderId="27" xfId="2" applyFont="1" applyFill="1" applyBorder="1" applyAlignment="1">
      <alignment horizontal="center"/>
    </xf>
    <xf numFmtId="0" fontId="0" fillId="16" borderId="24" xfId="0" applyFill="1" applyBorder="1"/>
    <xf numFmtId="44" fontId="7" fillId="16" borderId="24" xfId="2" applyFont="1" applyFill="1" applyBorder="1" applyAlignment="1">
      <alignment horizontal="center"/>
    </xf>
    <xf numFmtId="0" fontId="32" fillId="2" borderId="0" xfId="0" applyFont="1" applyFill="1"/>
    <xf numFmtId="164" fontId="11" fillId="2" borderId="0" xfId="3" applyNumberFormat="1" applyFont="1" applyFill="1" applyBorder="1" applyAlignment="1">
      <alignment horizontal="center"/>
    </xf>
    <xf numFmtId="9" fontId="11" fillId="2" borderId="0" xfId="3" applyFont="1" applyFill="1" applyBorder="1" applyAlignment="1">
      <alignment horizontal="center"/>
    </xf>
    <xf numFmtId="0" fontId="31" fillId="7" borderId="6" xfId="0" applyFont="1" applyFill="1" applyBorder="1" applyAlignment="1">
      <alignment horizontal="centerContinuous"/>
    </xf>
    <xf numFmtId="0" fontId="3" fillId="9" borderId="13" xfId="0" applyFont="1" applyFill="1" applyBorder="1" applyAlignment="1">
      <alignment horizontal="center" vertical="center"/>
    </xf>
    <xf numFmtId="0" fontId="3" fillId="7" borderId="4" xfId="0" applyFont="1" applyFill="1" applyBorder="1" applyAlignment="1">
      <alignment horizontal="centerContinuous"/>
    </xf>
    <xf numFmtId="0" fontId="2" fillId="7" borderId="4" xfId="0" applyFont="1" applyFill="1" applyBorder="1" applyAlignment="1">
      <alignment horizontal="centerContinuous"/>
    </xf>
    <xf numFmtId="0" fontId="0" fillId="7" borderId="4" xfId="0" applyFill="1" applyBorder="1" applyAlignment="1">
      <alignment horizontal="centerContinuous"/>
    </xf>
    <xf numFmtId="0" fontId="3" fillId="9" borderId="13" xfId="0" applyFont="1" applyFill="1" applyBorder="1" applyAlignment="1">
      <alignment horizontal="center" vertical="center" wrapText="1"/>
    </xf>
    <xf numFmtId="0" fontId="3" fillId="9" borderId="13" xfId="0" applyFont="1" applyFill="1" applyBorder="1" applyAlignment="1">
      <alignment horizontal="centerContinuous" vertical="center"/>
    </xf>
    <xf numFmtId="0" fontId="3" fillId="9" borderId="0" xfId="0" applyFont="1" applyFill="1" applyBorder="1" applyAlignment="1">
      <alignment horizontal="centerContinuous" vertical="center"/>
    </xf>
    <xf numFmtId="44" fontId="7" fillId="2" borderId="5" xfId="2" applyFont="1" applyFill="1" applyBorder="1" applyAlignment="1">
      <alignment horizontal="center"/>
    </xf>
    <xf numFmtId="0" fontId="3" fillId="9" borderId="7" xfId="0" applyFont="1" applyFill="1" applyBorder="1" applyAlignment="1">
      <alignment horizontal="centerContinuous" vertical="center" wrapText="1"/>
    </xf>
    <xf numFmtId="44" fontId="7" fillId="2" borderId="2" xfId="2" applyFont="1" applyFill="1" applyBorder="1" applyAlignment="1">
      <alignment horizontal="center"/>
    </xf>
    <xf numFmtId="44" fontId="7" fillId="2" borderId="18" xfId="2" applyFont="1" applyFill="1" applyBorder="1" applyAlignment="1">
      <alignment horizontal="center"/>
    </xf>
    <xf numFmtId="44" fontId="7" fillId="2" borderId="8" xfId="2" applyFont="1" applyFill="1" applyBorder="1" applyAlignment="1">
      <alignment horizontal="center"/>
    </xf>
    <xf numFmtId="44" fontId="7" fillId="2" borderId="14" xfId="2" applyFont="1" applyFill="1" applyBorder="1" applyAlignment="1">
      <alignment horizontal="center"/>
    </xf>
    <xf numFmtId="44" fontId="7" fillId="2" borderId="17" xfId="2" applyFont="1" applyFill="1" applyBorder="1" applyAlignment="1">
      <alignment horizontal="center"/>
    </xf>
    <xf numFmtId="44" fontId="7" fillId="2" borderId="19" xfId="2" applyFont="1" applyFill="1" applyBorder="1" applyAlignment="1">
      <alignment horizontal="center"/>
    </xf>
    <xf numFmtId="0" fontId="3" fillId="9" borderId="4" xfId="0" applyFont="1" applyFill="1" applyBorder="1" applyAlignment="1">
      <alignment horizontal="centerContinuous" vertical="center"/>
    </xf>
    <xf numFmtId="44" fontId="7" fillId="2" borderId="2" xfId="2" applyFont="1" applyFill="1" applyBorder="1" applyAlignment="1">
      <alignment horizontal="centerContinuous"/>
    </xf>
    <xf numFmtId="44" fontId="7" fillId="2" borderId="18" xfId="2" applyFont="1" applyFill="1" applyBorder="1" applyAlignment="1">
      <alignment horizontal="centerContinuous"/>
    </xf>
    <xf numFmtId="44" fontId="6" fillId="2" borderId="4" xfId="2" applyFont="1" applyFill="1" applyBorder="1" applyAlignment="1">
      <alignment horizontal="center"/>
    </xf>
    <xf numFmtId="44" fontId="6" fillId="2" borderId="1" xfId="2" applyFont="1" applyFill="1" applyBorder="1" applyAlignment="1">
      <alignment horizontal="center"/>
    </xf>
    <xf numFmtId="44" fontId="6" fillId="2" borderId="7" xfId="2" applyFont="1" applyFill="1" applyBorder="1" applyAlignment="1">
      <alignment horizontal="center"/>
    </xf>
    <xf numFmtId="44" fontId="6" fillId="2" borderId="13" xfId="2" applyFont="1" applyFill="1" applyBorder="1" applyAlignment="1">
      <alignment horizontal="center"/>
    </xf>
    <xf numFmtId="0" fontId="16" fillId="9" borderId="4" xfId="0" applyFont="1" applyFill="1" applyBorder="1" applyAlignment="1">
      <alignment horizontal="center" vertical="center" wrapText="1"/>
    </xf>
    <xf numFmtId="0" fontId="3" fillId="9" borderId="18" xfId="0" applyFont="1" applyFill="1" applyBorder="1" applyAlignment="1">
      <alignment horizontal="centerContinuous" vertical="center" wrapText="1"/>
    </xf>
    <xf numFmtId="43" fontId="7" fillId="2" borderId="3" xfId="1" applyFont="1" applyFill="1" applyBorder="1" applyAlignment="1">
      <alignment horizontal="centerContinuous"/>
    </xf>
    <xf numFmtId="43" fontId="7" fillId="2" borderId="3" xfId="1" applyFont="1" applyFill="1" applyBorder="1" applyAlignment="1">
      <alignment horizontal="center"/>
    </xf>
    <xf numFmtId="43" fontId="7" fillId="2" borderId="15" xfId="1" applyFont="1" applyFill="1" applyBorder="1" applyAlignment="1">
      <alignment horizontal="center"/>
    </xf>
    <xf numFmtId="0" fontId="3" fillId="16" borderId="7" xfId="0" applyFont="1" applyFill="1" applyBorder="1"/>
    <xf numFmtId="0" fontId="3" fillId="16" borderId="7" xfId="0" applyFont="1" applyFill="1" applyBorder="1" applyAlignment="1">
      <alignment horizontal="center"/>
    </xf>
    <xf numFmtId="44" fontId="3" fillId="16" borderId="7" xfId="2" applyFont="1" applyFill="1" applyBorder="1" applyAlignment="1">
      <alignment horizontal="center"/>
    </xf>
    <xf numFmtId="44" fontId="16" fillId="16" borderId="7" xfId="2" applyFont="1" applyFill="1" applyBorder="1" applyAlignment="1">
      <alignment horizontal="center"/>
    </xf>
    <xf numFmtId="44" fontId="3" fillId="16" borderId="8" xfId="2" applyFont="1" applyFill="1" applyBorder="1" applyAlignment="1">
      <alignment horizontal="center"/>
    </xf>
    <xf numFmtId="44" fontId="3" fillId="16" borderId="2" xfId="2" applyFont="1" applyFill="1" applyBorder="1" applyAlignment="1">
      <alignment horizontal="center"/>
    </xf>
    <xf numFmtId="43" fontId="3" fillId="16" borderId="3" xfId="1" applyFont="1" applyFill="1" applyBorder="1" applyAlignment="1">
      <alignment horizontal="center"/>
    </xf>
    <xf numFmtId="44" fontId="3" fillId="16" borderId="18" xfId="2" applyFont="1" applyFill="1" applyBorder="1" applyAlignment="1">
      <alignment horizontal="center"/>
    </xf>
    <xf numFmtId="43" fontId="3" fillId="16" borderId="0" xfId="1" applyFont="1" applyFill="1" applyBorder="1" applyAlignment="1">
      <alignment horizontal="center"/>
    </xf>
    <xf numFmtId="44" fontId="3" fillId="16" borderId="17" xfId="2" applyFont="1" applyFill="1" applyBorder="1" applyAlignment="1">
      <alignment horizontal="center"/>
    </xf>
    <xf numFmtId="0" fontId="2" fillId="16" borderId="23" xfId="0" applyFont="1" applyFill="1" applyBorder="1"/>
    <xf numFmtId="43" fontId="3" fillId="16" borderId="7" xfId="1" applyFont="1" applyFill="1" applyBorder="1" applyAlignment="1">
      <alignment horizontal="center"/>
    </xf>
    <xf numFmtId="0" fontId="16" fillId="7" borderId="4" xfId="0" applyFont="1" applyFill="1" applyBorder="1" applyAlignment="1">
      <alignment horizontal="centerContinuous"/>
    </xf>
    <xf numFmtId="0" fontId="0" fillId="16" borderId="26" xfId="0" applyFill="1" applyBorder="1"/>
    <xf numFmtId="0" fontId="0" fillId="16" borderId="27" xfId="0" applyFill="1" applyBorder="1"/>
    <xf numFmtId="0" fontId="0" fillId="16" borderId="24" xfId="0" applyFill="1" applyBorder="1" applyAlignment="1">
      <alignment vertical="center"/>
    </xf>
    <xf numFmtId="0" fontId="3" fillId="9" borderId="5" xfId="0" applyFont="1" applyFill="1" applyBorder="1" applyAlignment="1">
      <alignment horizontal="center"/>
    </xf>
    <xf numFmtId="0" fontId="3" fillId="7" borderId="3" xfId="0" applyFont="1" applyFill="1" applyBorder="1" applyAlignment="1">
      <alignment horizontal="centerContinuous"/>
    </xf>
    <xf numFmtId="0" fontId="0" fillId="7" borderId="18" xfId="0" applyFill="1" applyBorder="1" applyAlignment="1">
      <alignment horizontal="centerContinuous"/>
    </xf>
    <xf numFmtId="0" fontId="3" fillId="9" borderId="5" xfId="0" applyFont="1" applyFill="1" applyBorder="1" applyAlignment="1">
      <alignment horizontal="centerContinuous"/>
    </xf>
    <xf numFmtId="0" fontId="3" fillId="9" borderId="16" xfId="0" applyFont="1" applyFill="1" applyBorder="1" applyAlignment="1">
      <alignment horizontal="centerContinuous"/>
    </xf>
    <xf numFmtId="44" fontId="8" fillId="2" borderId="5" xfId="2" applyFont="1" applyFill="1" applyBorder="1" applyAlignment="1">
      <alignment horizontal="center"/>
    </xf>
    <xf numFmtId="44" fontId="8" fillId="2" borderId="14" xfId="2" applyFont="1" applyFill="1" applyBorder="1" applyAlignment="1">
      <alignment horizontal="center"/>
    </xf>
    <xf numFmtId="44" fontId="8" fillId="2" borderId="8" xfId="2" applyFont="1" applyFill="1" applyBorder="1" applyAlignment="1">
      <alignment horizontal="center"/>
    </xf>
    <xf numFmtId="44" fontId="8" fillId="2" borderId="2" xfId="2" applyFont="1" applyFill="1" applyBorder="1" applyAlignment="1">
      <alignment horizontal="center"/>
    </xf>
    <xf numFmtId="0" fontId="16" fillId="9" borderId="1" xfId="0" applyFont="1" applyFill="1" applyBorder="1" applyAlignment="1">
      <alignment horizontal="centerContinuous" vertical="center"/>
    </xf>
    <xf numFmtId="0" fontId="6" fillId="2" borderId="5" xfId="0" applyFont="1" applyFill="1" applyBorder="1"/>
    <xf numFmtId="44" fontId="6" fillId="2" borderId="18" xfId="2" applyFont="1" applyFill="1" applyBorder="1" applyAlignment="1">
      <alignment horizontal="centerContinuous"/>
    </xf>
    <xf numFmtId="0" fontId="6" fillId="2" borderId="2" xfId="0" applyFont="1" applyFill="1" applyBorder="1"/>
    <xf numFmtId="0" fontId="6" fillId="2" borderId="8" xfId="0" applyFont="1" applyFill="1" applyBorder="1"/>
    <xf numFmtId="44" fontId="6" fillId="2" borderId="17" xfId="2" applyFont="1" applyFill="1" applyBorder="1" applyAlignment="1">
      <alignment horizontal="centerContinuous"/>
    </xf>
    <xf numFmtId="0" fontId="6" fillId="2" borderId="14" xfId="0" applyFont="1" applyFill="1" applyBorder="1"/>
    <xf numFmtId="44" fontId="6" fillId="2" borderId="19" xfId="2" applyFont="1" applyFill="1" applyBorder="1" applyAlignment="1">
      <alignment horizontal="centerContinuous"/>
    </xf>
    <xf numFmtId="44" fontId="6" fillId="2" borderId="2" xfId="2" applyFont="1" applyFill="1" applyBorder="1" applyAlignment="1">
      <alignment horizontal="centerContinuous"/>
    </xf>
    <xf numFmtId="44" fontId="6" fillId="2" borderId="1" xfId="2" applyFont="1" applyFill="1" applyBorder="1" applyAlignment="1">
      <alignment horizontal="centerContinuous"/>
    </xf>
    <xf numFmtId="44" fontId="6" fillId="2" borderId="8" xfId="2" applyFont="1" applyFill="1" applyBorder="1" applyAlignment="1">
      <alignment horizontal="centerContinuous"/>
    </xf>
    <xf numFmtId="44" fontId="6" fillId="2" borderId="7" xfId="2" applyFont="1" applyFill="1" applyBorder="1" applyAlignment="1">
      <alignment horizontal="centerContinuous"/>
    </xf>
    <xf numFmtId="44" fontId="6" fillId="2" borderId="14" xfId="2" applyFont="1" applyFill="1" applyBorder="1" applyAlignment="1">
      <alignment horizontal="centerContinuous"/>
    </xf>
    <xf numFmtId="44" fontId="6" fillId="2" borderId="13" xfId="2" applyFont="1" applyFill="1" applyBorder="1" applyAlignment="1">
      <alignment horizontal="centerContinuous"/>
    </xf>
    <xf numFmtId="0" fontId="16" fillId="16" borderId="8" xfId="0" applyFont="1" applyFill="1" applyBorder="1"/>
    <xf numFmtId="44" fontId="16" fillId="16" borderId="17" xfId="2" applyFont="1" applyFill="1" applyBorder="1" applyAlignment="1">
      <alignment horizontal="centerContinuous"/>
    </xf>
    <xf numFmtId="44" fontId="16" fillId="16" borderId="8" xfId="2" applyFont="1" applyFill="1" applyBorder="1" applyAlignment="1">
      <alignment horizontal="centerContinuous"/>
    </xf>
    <xf numFmtId="44" fontId="16" fillId="16" borderId="7" xfId="2" applyFont="1" applyFill="1" applyBorder="1" applyAlignment="1">
      <alignment horizontal="centerContinuous"/>
    </xf>
    <xf numFmtId="44" fontId="16" fillId="16" borderId="18" xfId="2" applyFont="1" applyFill="1" applyBorder="1" applyAlignment="1">
      <alignment horizontal="centerContinuous"/>
    </xf>
    <xf numFmtId="44" fontId="16" fillId="16" borderId="2" xfId="2" applyFont="1" applyFill="1" applyBorder="1" applyAlignment="1">
      <alignment horizontal="centerContinuous"/>
    </xf>
    <xf numFmtId="44" fontId="16" fillId="16" borderId="1" xfId="2" applyFont="1" applyFill="1" applyBorder="1" applyAlignment="1">
      <alignment horizontal="centerContinuous"/>
    </xf>
    <xf numFmtId="0" fontId="16" fillId="17" borderId="1" xfId="0" applyFont="1" applyFill="1" applyBorder="1" applyAlignment="1">
      <alignment horizontal="centerContinuous" vertical="center"/>
    </xf>
    <xf numFmtId="0" fontId="16" fillId="14" borderId="4" xfId="0" applyFont="1" applyFill="1" applyBorder="1" applyAlignment="1">
      <alignment horizontal="center"/>
    </xf>
    <xf numFmtId="0" fontId="16" fillId="14" borderId="5" xfId="0" applyFont="1" applyFill="1" applyBorder="1" applyAlignment="1">
      <alignment horizontal="centerContinuous"/>
    </xf>
    <xf numFmtId="0" fontId="31" fillId="14" borderId="16" xfId="0" applyFont="1" applyFill="1" applyBorder="1" applyAlignment="1">
      <alignment horizontal="centerContinuous"/>
    </xf>
    <xf numFmtId="0" fontId="16" fillId="17" borderId="18" xfId="0" applyFont="1" applyFill="1" applyBorder="1" applyAlignment="1">
      <alignment horizontal="centerContinuous" vertical="center"/>
    </xf>
    <xf numFmtId="0" fontId="16" fillId="16" borderId="7" xfId="0" applyFont="1" applyFill="1" applyBorder="1"/>
    <xf numFmtId="164" fontId="6" fillId="2" borderId="18" xfId="3" applyNumberFormat="1" applyFont="1" applyFill="1" applyBorder="1" applyAlignment="1">
      <alignment horizontal="right"/>
    </xf>
    <xf numFmtId="164" fontId="6" fillId="2" borderId="2" xfId="3" applyNumberFormat="1" applyFont="1" applyFill="1" applyBorder="1" applyAlignment="1">
      <alignment horizontal="right"/>
    </xf>
    <xf numFmtId="164" fontId="6" fillId="2" borderId="1" xfId="3" applyNumberFormat="1" applyFont="1" applyFill="1" applyBorder="1" applyAlignment="1">
      <alignment horizontal="right"/>
    </xf>
    <xf numFmtId="164" fontId="16" fillId="16" borderId="17" xfId="3" applyNumberFormat="1" applyFont="1" applyFill="1" applyBorder="1" applyAlignment="1">
      <alignment horizontal="right"/>
    </xf>
    <xf numFmtId="164" fontId="16" fillId="16" borderId="8" xfId="3" applyNumberFormat="1" applyFont="1" applyFill="1" applyBorder="1" applyAlignment="1">
      <alignment horizontal="right"/>
    </xf>
    <xf numFmtId="164" fontId="16" fillId="16" borderId="7" xfId="3" applyNumberFormat="1" applyFont="1" applyFill="1" applyBorder="1" applyAlignment="1">
      <alignment horizontal="right"/>
    </xf>
    <xf numFmtId="164" fontId="6" fillId="2" borderId="17" xfId="3" applyNumberFormat="1" applyFont="1" applyFill="1" applyBorder="1" applyAlignment="1">
      <alignment horizontal="right"/>
    </xf>
    <xf numFmtId="164" fontId="6" fillId="2" borderId="8" xfId="3" applyNumberFormat="1" applyFont="1" applyFill="1" applyBorder="1" applyAlignment="1">
      <alignment horizontal="right"/>
    </xf>
    <xf numFmtId="164" fontId="6" fillId="2" borderId="7" xfId="3" applyNumberFormat="1" applyFont="1" applyFill="1" applyBorder="1" applyAlignment="1">
      <alignment horizontal="right"/>
    </xf>
    <xf numFmtId="164" fontId="16" fillId="16" borderId="18" xfId="3" applyNumberFormat="1" applyFont="1" applyFill="1" applyBorder="1" applyAlignment="1">
      <alignment horizontal="right"/>
    </xf>
    <xf numFmtId="164" fontId="16" fillId="16" borderId="2" xfId="3" applyNumberFormat="1" applyFont="1" applyFill="1" applyBorder="1" applyAlignment="1">
      <alignment horizontal="right"/>
    </xf>
    <xf numFmtId="164" fontId="16" fillId="16" borderId="1" xfId="3" applyNumberFormat="1" applyFont="1" applyFill="1" applyBorder="1" applyAlignment="1">
      <alignment horizontal="right"/>
    </xf>
    <xf numFmtId="164" fontId="6" fillId="2" borderId="19" xfId="3" applyNumberFormat="1" applyFont="1" applyFill="1" applyBorder="1" applyAlignment="1">
      <alignment horizontal="right"/>
    </xf>
    <xf numFmtId="164" fontId="6" fillId="2" borderId="14" xfId="3" applyNumberFormat="1" applyFont="1" applyFill="1" applyBorder="1" applyAlignment="1">
      <alignment horizontal="right"/>
    </xf>
    <xf numFmtId="164" fontId="6" fillId="2" borderId="13" xfId="3" applyNumberFormat="1" applyFont="1" applyFill="1" applyBorder="1" applyAlignment="1">
      <alignment horizontal="right"/>
    </xf>
    <xf numFmtId="0" fontId="0" fillId="16" borderId="2" xfId="0" applyFill="1" applyBorder="1"/>
    <xf numFmtId="0" fontId="13" fillId="16" borderId="3" xfId="0" applyFont="1" applyFill="1" applyBorder="1"/>
    <xf numFmtId="0" fontId="13" fillId="16" borderId="18" xfId="0" applyFont="1" applyFill="1" applyBorder="1"/>
    <xf numFmtId="0" fontId="0" fillId="16" borderId="8" xfId="0" applyFill="1" applyBorder="1"/>
    <xf numFmtId="0" fontId="0" fillId="16" borderId="14" xfId="0" applyFill="1" applyBorder="1"/>
    <xf numFmtId="0" fontId="14" fillId="16" borderId="15" xfId="0" applyFont="1" applyFill="1" applyBorder="1"/>
    <xf numFmtId="0" fontId="14" fillId="16" borderId="19" xfId="0" applyFont="1" applyFill="1" applyBorder="1"/>
    <xf numFmtId="0" fontId="0" fillId="16" borderId="17" xfId="0" applyFill="1" applyBorder="1"/>
    <xf numFmtId="0" fontId="34" fillId="2" borderId="0" xfId="0" applyFont="1" applyFill="1"/>
    <xf numFmtId="0" fontId="35" fillId="2" borderId="0" xfId="0" applyFont="1" applyFill="1"/>
    <xf numFmtId="0" fontId="36" fillId="2" borderId="0" xfId="0" applyFont="1" applyFill="1"/>
    <xf numFmtId="0" fontId="37" fillId="2" borderId="0" xfId="0" applyFont="1" applyFill="1"/>
    <xf numFmtId="0" fontId="11" fillId="2" borderId="0" xfId="0" applyFont="1" applyFill="1" applyBorder="1" applyAlignment="1">
      <alignment horizontal="centerContinuous"/>
    </xf>
    <xf numFmtId="0" fontId="38" fillId="2" borderId="0" xfId="0" applyFont="1" applyFill="1"/>
    <xf numFmtId="0" fontId="11" fillId="2" borderId="0" xfId="0" applyFont="1" applyFill="1" applyAlignment="1">
      <alignment horizontal="left" indent="4"/>
    </xf>
    <xf numFmtId="0" fontId="39" fillId="2" borderId="0" xfId="0" applyFont="1" applyFill="1"/>
    <xf numFmtId="0" fontId="36" fillId="2" borderId="0" xfId="0" applyFont="1" applyFill="1" applyAlignment="1">
      <alignment horizontal="left"/>
    </xf>
    <xf numFmtId="0" fontId="33" fillId="9" borderId="4" xfId="0" applyFont="1" applyFill="1" applyBorder="1" applyAlignment="1">
      <alignment horizontal="center" vertical="center" wrapText="1"/>
    </xf>
    <xf numFmtId="0" fontId="33" fillId="9" borderId="5" xfId="0" applyFont="1" applyFill="1" applyBorder="1" applyAlignment="1">
      <alignment horizontal="center" vertical="center" wrapText="1"/>
    </xf>
    <xf numFmtId="44" fontId="7" fillId="2" borderId="17" xfId="2" applyFont="1" applyFill="1" applyBorder="1" applyAlignment="1">
      <alignment horizontal="centerContinuous"/>
    </xf>
    <xf numFmtId="44" fontId="7" fillId="2" borderId="19" xfId="2" applyFont="1" applyFill="1" applyBorder="1" applyAlignment="1">
      <alignment horizontal="centerContinuous"/>
    </xf>
    <xf numFmtId="44" fontId="9" fillId="2" borderId="2" xfId="2" applyFont="1" applyFill="1" applyBorder="1" applyAlignment="1">
      <alignment horizontal="centerContinuous"/>
    </xf>
    <xf numFmtId="44" fontId="7" fillId="2" borderId="1" xfId="2" applyFont="1" applyFill="1" applyBorder="1" applyAlignment="1">
      <alignment horizontal="centerContinuous"/>
    </xf>
    <xf numFmtId="44" fontId="7" fillId="2" borderId="7" xfId="2" applyFont="1" applyFill="1" applyBorder="1" applyAlignment="1">
      <alignment horizontal="centerContinuous"/>
    </xf>
    <xf numFmtId="44" fontId="7" fillId="2" borderId="13" xfId="2" applyFont="1" applyFill="1" applyBorder="1" applyAlignment="1">
      <alignment horizontal="centerContinuous"/>
    </xf>
    <xf numFmtId="0" fontId="6" fillId="2" borderId="0" xfId="0" applyFont="1" applyFill="1" applyBorder="1" applyAlignment="1">
      <alignment horizontal="centerContinuous"/>
    </xf>
    <xf numFmtId="0" fontId="18" fillId="2" borderId="0" xfId="0" applyFont="1" applyFill="1"/>
    <xf numFmtId="0" fontId="22" fillId="2" borderId="0" xfId="0" applyFont="1" applyFill="1" applyAlignment="1">
      <alignment horizontal="right"/>
    </xf>
    <xf numFmtId="166" fontId="13" fillId="2" borderId="8" xfId="1" applyNumberFormat="1" applyFont="1" applyFill="1" applyBorder="1"/>
    <xf numFmtId="9" fontId="13" fillId="2" borderId="8" xfId="3" applyFont="1" applyFill="1" applyBorder="1"/>
    <xf numFmtId="166" fontId="13" fillId="2" borderId="17" xfId="1" applyNumberFormat="1" applyFont="1" applyFill="1" applyBorder="1"/>
    <xf numFmtId="9" fontId="13" fillId="2" borderId="17" xfId="3" applyFont="1" applyFill="1" applyBorder="1"/>
    <xf numFmtId="165" fontId="13" fillId="2" borderId="19" xfId="2" applyNumberFormat="1" applyFont="1" applyFill="1" applyBorder="1"/>
    <xf numFmtId="0" fontId="12" fillId="9" borderId="1" xfId="0" applyFont="1" applyFill="1" applyBorder="1" applyAlignment="1">
      <alignment horizontal="centerContinuous"/>
    </xf>
    <xf numFmtId="166" fontId="13" fillId="2" borderId="18" xfId="1" applyNumberFormat="1" applyFont="1" applyFill="1" applyBorder="1" applyAlignment="1">
      <alignment horizontal="centerContinuous"/>
    </xf>
    <xf numFmtId="0" fontId="22" fillId="2" borderId="1" xfId="0" applyFont="1" applyFill="1" applyBorder="1"/>
    <xf numFmtId="43" fontId="22" fillId="2" borderId="1" xfId="1" applyFont="1" applyFill="1" applyBorder="1"/>
    <xf numFmtId="43" fontId="22" fillId="2" borderId="2" xfId="1" applyFont="1" applyFill="1" applyBorder="1" applyAlignment="1">
      <alignment horizontal="centerContinuous"/>
    </xf>
    <xf numFmtId="0" fontId="40" fillId="9" borderId="4" xfId="0" applyFont="1" applyFill="1" applyBorder="1" applyAlignment="1">
      <alignment horizontal="center"/>
    </xf>
    <xf numFmtId="0" fontId="40" fillId="9" borderId="4" xfId="0" applyFont="1" applyFill="1" applyBorder="1" applyAlignment="1">
      <alignment horizontal="centerContinuous"/>
    </xf>
    <xf numFmtId="166" fontId="6" fillId="2" borderId="17" xfId="1" applyNumberFormat="1" applyFont="1" applyFill="1" applyBorder="1"/>
    <xf numFmtId="165" fontId="6" fillId="2" borderId="19" xfId="2" applyNumberFormat="1" applyFont="1" applyFill="1" applyBorder="1"/>
    <xf numFmtId="165" fontId="6" fillId="2" borderId="0" xfId="2" applyNumberFormat="1" applyFont="1" applyFill="1" applyBorder="1"/>
    <xf numFmtId="165" fontId="6" fillId="2" borderId="15" xfId="2" applyNumberFormat="1" applyFont="1" applyFill="1" applyBorder="1"/>
    <xf numFmtId="0" fontId="29" fillId="2" borderId="7" xfId="0" applyFont="1" applyFill="1" applyBorder="1" applyAlignment="1">
      <alignment horizontal="right"/>
    </xf>
    <xf numFmtId="0" fontId="29" fillId="2" borderId="13" xfId="0" applyFont="1" applyFill="1" applyBorder="1" applyAlignment="1">
      <alignment horizontal="right"/>
    </xf>
    <xf numFmtId="0" fontId="29" fillId="2" borderId="0" xfId="0" applyFont="1" applyFill="1" applyBorder="1" applyAlignment="1">
      <alignment horizontal="right"/>
    </xf>
    <xf numFmtId="0" fontId="22" fillId="2" borderId="13" xfId="0" applyFont="1" applyFill="1" applyBorder="1" applyAlignment="1">
      <alignment horizontal="right"/>
    </xf>
    <xf numFmtId="165" fontId="22" fillId="2" borderId="0" xfId="2" applyNumberFormat="1" applyFont="1" applyFill="1" applyBorder="1"/>
    <xf numFmtId="0" fontId="22" fillId="2" borderId="7" xfId="0" applyFont="1" applyFill="1" applyBorder="1" applyAlignment="1">
      <alignment horizontal="right"/>
    </xf>
    <xf numFmtId="166" fontId="22" fillId="2" borderId="7" xfId="1" applyNumberFormat="1" applyFont="1" applyFill="1" applyBorder="1"/>
    <xf numFmtId="43" fontId="22" fillId="2" borderId="17" xfId="1" applyFont="1" applyFill="1" applyBorder="1" applyAlignment="1">
      <alignment horizontal="centerContinuous"/>
    </xf>
    <xf numFmtId="9" fontId="13" fillId="2" borderId="0" xfId="3" applyFont="1" applyFill="1" applyBorder="1"/>
    <xf numFmtId="165" fontId="13" fillId="2" borderId="15" xfId="2" applyNumberFormat="1" applyFont="1" applyFill="1" applyBorder="1"/>
    <xf numFmtId="0" fontId="22" fillId="2" borderId="0" xfId="0" applyFont="1" applyFill="1" applyBorder="1" applyAlignment="1">
      <alignment horizontal="right"/>
    </xf>
    <xf numFmtId="43" fontId="11" fillId="13" borderId="18" xfId="1" applyFont="1" applyFill="1" applyBorder="1" applyAlignment="1">
      <alignment horizontal="centerContinuous"/>
    </xf>
    <xf numFmtId="43" fontId="11" fillId="13" borderId="17" xfId="1" applyFont="1" applyFill="1" applyBorder="1"/>
    <xf numFmtId="43" fontId="11" fillId="13" borderId="7" xfId="1" applyFont="1" applyFill="1" applyBorder="1"/>
    <xf numFmtId="0" fontId="22" fillId="2" borderId="8" xfId="0" applyFont="1" applyFill="1" applyBorder="1" applyAlignment="1">
      <alignment horizontal="right"/>
    </xf>
    <xf numFmtId="43" fontId="22" fillId="2" borderId="17" xfId="1" applyFont="1" applyFill="1" applyBorder="1"/>
    <xf numFmtId="165" fontId="22" fillId="2" borderId="19" xfId="2" applyNumberFormat="1" applyFont="1" applyFill="1" applyBorder="1"/>
    <xf numFmtId="43" fontId="22" fillId="2" borderId="18" xfId="1" applyFont="1" applyFill="1" applyBorder="1"/>
    <xf numFmtId="165" fontId="22" fillId="2" borderId="13" xfId="2" applyNumberFormat="1" applyFont="1" applyFill="1" applyBorder="1"/>
    <xf numFmtId="43" fontId="22" fillId="2" borderId="7" xfId="1" applyFont="1" applyFill="1" applyBorder="1"/>
    <xf numFmtId="0" fontId="40" fillId="9" borderId="4" xfId="0" applyFont="1" applyFill="1" applyBorder="1" applyAlignment="1">
      <alignment horizontal="right"/>
    </xf>
    <xf numFmtId="0" fontId="29" fillId="2" borderId="1" xfId="0" applyFont="1" applyFill="1" applyBorder="1" applyAlignment="1">
      <alignment horizontal="right"/>
    </xf>
    <xf numFmtId="165" fontId="6" fillId="2" borderId="1" xfId="2" applyNumberFormat="1" applyFont="1" applyFill="1" applyBorder="1"/>
    <xf numFmtId="165" fontId="6" fillId="2" borderId="18" xfId="2" applyNumberFormat="1" applyFont="1" applyFill="1" applyBorder="1"/>
    <xf numFmtId="165" fontId="6" fillId="2" borderId="3" xfId="2" applyNumberFormat="1" applyFont="1" applyFill="1" applyBorder="1"/>
    <xf numFmtId="165" fontId="13" fillId="2" borderId="1" xfId="2" applyNumberFormat="1" applyFont="1" applyFill="1" applyBorder="1"/>
    <xf numFmtId="165" fontId="13" fillId="2" borderId="18" xfId="2" applyNumberFormat="1" applyFont="1" applyFill="1" applyBorder="1"/>
    <xf numFmtId="165" fontId="13" fillId="2" borderId="3" xfId="2" applyNumberFormat="1" applyFont="1" applyFill="1" applyBorder="1"/>
    <xf numFmtId="9" fontId="6" fillId="3" borderId="7" xfId="3" applyFont="1" applyFill="1" applyBorder="1"/>
    <xf numFmtId="0" fontId="40" fillId="7" borderId="4" xfId="0" applyFont="1" applyFill="1" applyBorder="1" applyAlignment="1">
      <alignment horizontal="right"/>
    </xf>
    <xf numFmtId="0" fontId="40" fillId="7" borderId="4" xfId="0" applyFont="1" applyFill="1" applyBorder="1" applyAlignment="1">
      <alignment horizontal="center"/>
    </xf>
    <xf numFmtId="0" fontId="40" fillId="7" borderId="4" xfId="0" applyFont="1" applyFill="1" applyBorder="1" applyAlignment="1">
      <alignment horizontal="centerContinuous"/>
    </xf>
    <xf numFmtId="166" fontId="11" fillId="13" borderId="7" xfId="1" applyNumberFormat="1" applyFont="1" applyFill="1" applyBorder="1"/>
    <xf numFmtId="9" fontId="6" fillId="2" borderId="7" xfId="3" applyFont="1" applyFill="1" applyBorder="1"/>
    <xf numFmtId="9" fontId="6" fillId="2" borderId="17" xfId="3" applyFont="1" applyFill="1" applyBorder="1"/>
    <xf numFmtId="9" fontId="6" fillId="2" borderId="0" xfId="3" applyFont="1" applyFill="1" applyBorder="1"/>
    <xf numFmtId="0" fontId="12" fillId="7" borderId="18" xfId="0" applyFont="1" applyFill="1" applyBorder="1" applyAlignment="1">
      <alignment horizontal="centerContinuous"/>
    </xf>
    <xf numFmtId="0" fontId="6" fillId="0" borderId="0" xfId="0" applyFont="1"/>
    <xf numFmtId="165" fontId="29" fillId="2" borderId="0" xfId="2" applyNumberFormat="1" applyFont="1" applyFill="1" applyBorder="1"/>
    <xf numFmtId="0" fontId="6" fillId="2" borderId="0" xfId="0" applyFont="1" applyFill="1" applyAlignment="1">
      <alignment horizontal="right"/>
    </xf>
    <xf numFmtId="0" fontId="16" fillId="9" borderId="4" xfId="0" applyFont="1" applyFill="1" applyBorder="1" applyAlignment="1">
      <alignment horizontal="center"/>
    </xf>
    <xf numFmtId="0" fontId="16" fillId="9" borderId="1" xfId="0" applyFont="1" applyFill="1" applyBorder="1" applyAlignment="1">
      <alignment horizontal="centerContinuous"/>
    </xf>
    <xf numFmtId="0" fontId="16" fillId="7" borderId="18" xfId="0" applyFont="1" applyFill="1" applyBorder="1" applyAlignment="1">
      <alignment horizontal="centerContinuous"/>
    </xf>
    <xf numFmtId="0" fontId="29" fillId="2" borderId="0" xfId="0" applyFont="1" applyFill="1" applyAlignment="1">
      <alignment horizontal="right"/>
    </xf>
    <xf numFmtId="165" fontId="13" fillId="2" borderId="0" xfId="2" applyNumberFormat="1" applyFont="1" applyFill="1" applyBorder="1" applyAlignment="1">
      <alignment horizontal="centerContinuous"/>
    </xf>
    <xf numFmtId="165" fontId="29" fillId="2" borderId="0" xfId="2" applyNumberFormat="1" applyFont="1" applyFill="1" applyBorder="1" applyAlignment="1">
      <alignment horizontal="centerContinuous"/>
    </xf>
    <xf numFmtId="166" fontId="29" fillId="2" borderId="4" xfId="1" applyNumberFormat="1" applyFont="1" applyFill="1" applyBorder="1"/>
    <xf numFmtId="165" fontId="29" fillId="2" borderId="5" xfId="2" applyNumberFormat="1" applyFont="1" applyFill="1" applyBorder="1"/>
    <xf numFmtId="165" fontId="29" fillId="2" borderId="4" xfId="2" applyNumberFormat="1" applyFont="1" applyFill="1" applyBorder="1"/>
    <xf numFmtId="165" fontId="29" fillId="2" borderId="13" xfId="2" applyNumberFormat="1" applyFont="1" applyFill="1" applyBorder="1"/>
    <xf numFmtId="0" fontId="42" fillId="2" borderId="0" xfId="0" applyFont="1" applyFill="1"/>
    <xf numFmtId="165" fontId="29" fillId="2" borderId="4" xfId="0" applyNumberFormat="1" applyFont="1" applyFill="1" applyBorder="1"/>
    <xf numFmtId="0" fontId="29" fillId="2" borderId="4" xfId="1" applyNumberFormat="1" applyFont="1" applyFill="1" applyBorder="1" applyAlignment="1">
      <alignment horizontal="left"/>
    </xf>
    <xf numFmtId="0" fontId="29" fillId="2" borderId="13" xfId="1" applyNumberFormat="1" applyFont="1" applyFill="1" applyBorder="1" applyAlignment="1">
      <alignment horizontal="left"/>
    </xf>
    <xf numFmtId="0" fontId="41" fillId="7" borderId="4" xfId="0" applyFont="1" applyFill="1" applyBorder="1" applyAlignment="1">
      <alignment horizontal="centerContinuous"/>
    </xf>
    <xf numFmtId="0" fontId="43" fillId="7" borderId="4" xfId="0" applyFont="1" applyFill="1" applyBorder="1" applyAlignment="1">
      <alignment horizontal="centerContinuous"/>
    </xf>
    <xf numFmtId="165" fontId="29" fillId="9" borderId="4" xfId="2" applyNumberFormat="1" applyFont="1" applyFill="1" applyBorder="1" applyAlignment="1">
      <alignment horizontal="centerContinuous"/>
    </xf>
    <xf numFmtId="20" fontId="29" fillId="9" borderId="4" xfId="0" quotePrefix="1" applyNumberFormat="1" applyFont="1" applyFill="1" applyBorder="1" applyAlignment="1">
      <alignment horizontal="centerContinuous"/>
    </xf>
    <xf numFmtId="0" fontId="12" fillId="9" borderId="16" xfId="0" applyFont="1" applyFill="1" applyBorder="1" applyAlignment="1">
      <alignment horizontal="center"/>
    </xf>
    <xf numFmtId="166" fontId="13" fillId="2" borderId="1" xfId="1" applyNumberFormat="1" applyFont="1" applyFill="1" applyBorder="1" applyAlignment="1">
      <alignment horizontal="centerContinuous"/>
    </xf>
    <xf numFmtId="165" fontId="29" fillId="5" borderId="14" xfId="2" applyNumberFormat="1" applyFont="1" applyFill="1" applyBorder="1"/>
    <xf numFmtId="165" fontId="29" fillId="5" borderId="4" xfId="0" applyNumberFormat="1" applyFont="1" applyFill="1" applyBorder="1"/>
    <xf numFmtId="0" fontId="29" fillId="5" borderId="4" xfId="1" applyNumberFormat="1" applyFont="1" applyFill="1" applyBorder="1" applyAlignment="1">
      <alignment horizontal="left"/>
    </xf>
    <xf numFmtId="165" fontId="29" fillId="5" borderId="4" xfId="2" applyNumberFormat="1" applyFont="1" applyFill="1" applyBorder="1"/>
    <xf numFmtId="166" fontId="29" fillId="5" borderId="13" xfId="1" applyNumberFormat="1" applyFont="1" applyFill="1" applyBorder="1"/>
    <xf numFmtId="43" fontId="11" fillId="13" borderId="1" xfId="1" applyFont="1" applyFill="1" applyBorder="1"/>
    <xf numFmtId="9" fontId="11" fillId="13" borderId="7" xfId="1" applyNumberFormat="1" applyFont="1" applyFill="1" applyBorder="1"/>
    <xf numFmtId="0" fontId="16" fillId="7" borderId="1" xfId="0" applyFont="1" applyFill="1" applyBorder="1" applyAlignment="1">
      <alignment horizontal="center"/>
    </xf>
    <xf numFmtId="0" fontId="12" fillId="2" borderId="0" xfId="0" applyFont="1" applyFill="1" applyAlignment="1">
      <alignment horizontal="right"/>
    </xf>
    <xf numFmtId="166" fontId="12" fillId="2" borderId="4" xfId="0" applyNumberFormat="1" applyFont="1" applyFill="1" applyBorder="1"/>
    <xf numFmtId="0" fontId="9" fillId="2" borderId="0" xfId="0" applyFont="1" applyFill="1" applyAlignment="1">
      <alignment horizontal="right"/>
    </xf>
    <xf numFmtId="166" fontId="9" fillId="2" borderId="4" xfId="0" applyNumberFormat="1" applyFont="1" applyFill="1" applyBorder="1"/>
    <xf numFmtId="0" fontId="16" fillId="2" borderId="0" xfId="0" applyFont="1" applyFill="1" applyAlignment="1">
      <alignment horizontal="right"/>
    </xf>
    <xf numFmtId="166" fontId="16" fillId="2" borderId="4" xfId="0" applyNumberFormat="1" applyFont="1" applyFill="1" applyBorder="1"/>
    <xf numFmtId="43" fontId="7" fillId="18" borderId="4" xfId="1" applyFont="1" applyFill="1" applyBorder="1"/>
    <xf numFmtId="43" fontId="7" fillId="2" borderId="4" xfId="1" applyFont="1" applyFill="1" applyBorder="1"/>
    <xf numFmtId="0" fontId="3" fillId="2" borderId="0" xfId="0" applyFont="1" applyFill="1" applyAlignment="1">
      <alignment horizontal="right"/>
    </xf>
    <xf numFmtId="0" fontId="36" fillId="2" borderId="0" xfId="0" applyFont="1" applyFill="1" applyBorder="1" applyAlignment="1">
      <alignment horizontal="left"/>
    </xf>
    <xf numFmtId="0" fontId="36" fillId="2" borderId="0" xfId="0" applyFont="1" applyFill="1" applyBorder="1" applyAlignment="1">
      <alignment horizontal="left" indent="2"/>
    </xf>
    <xf numFmtId="0" fontId="0" fillId="18" borderId="0" xfId="0" applyFill="1"/>
    <xf numFmtId="0" fontId="13" fillId="18" borderId="0" xfId="0" applyFont="1" applyFill="1"/>
    <xf numFmtId="0" fontId="6" fillId="18" borderId="0" xfId="0" applyFont="1" applyFill="1"/>
    <xf numFmtId="165" fontId="13" fillId="18" borderId="0" xfId="2" applyNumberFormat="1" applyFont="1" applyFill="1" applyBorder="1" applyAlignment="1">
      <alignment horizontal="centerContinuous"/>
    </xf>
    <xf numFmtId="9" fontId="6" fillId="3" borderId="7" xfId="1" applyNumberFormat="1" applyFont="1" applyFill="1" applyBorder="1"/>
    <xf numFmtId="9" fontId="11" fillId="13" borderId="7" xfId="3" applyFont="1" applyFill="1" applyBorder="1"/>
    <xf numFmtId="0" fontId="15" fillId="2" borderId="1" xfId="0" applyFont="1" applyFill="1" applyBorder="1" applyAlignment="1">
      <alignment horizontal="left" indent="1"/>
    </xf>
    <xf numFmtId="0" fontId="15" fillId="2" borderId="7" xfId="0" applyFont="1" applyFill="1" applyBorder="1" applyAlignment="1">
      <alignment horizontal="left" indent="1"/>
    </xf>
    <xf numFmtId="0" fontId="15" fillId="2" borderId="13" xfId="0" applyFont="1" applyFill="1" applyBorder="1" applyAlignment="1">
      <alignment horizontal="left" indent="1"/>
    </xf>
    <xf numFmtId="0" fontId="29" fillId="2" borderId="0" xfId="1" applyNumberFormat="1" applyFont="1" applyFill="1" applyBorder="1" applyAlignment="1">
      <alignment horizontal="left"/>
    </xf>
    <xf numFmtId="0" fontId="13" fillId="16" borderId="20" xfId="0" applyFont="1" applyFill="1" applyBorder="1"/>
    <xf numFmtId="0" fontId="12" fillId="16" borderId="21" xfId="0" applyFont="1" applyFill="1" applyBorder="1"/>
    <xf numFmtId="0" fontId="12" fillId="16" borderId="24" xfId="0" applyFont="1" applyFill="1" applyBorder="1" applyAlignment="1">
      <alignment horizontal="center"/>
    </xf>
    <xf numFmtId="165" fontId="13" fillId="16" borderId="24" xfId="2" applyNumberFormat="1" applyFont="1" applyFill="1" applyBorder="1"/>
    <xf numFmtId="166" fontId="13" fillId="16" borderId="24" xfId="1" applyNumberFormat="1" applyFont="1" applyFill="1" applyBorder="1"/>
    <xf numFmtId="165" fontId="13" fillId="16" borderId="27" xfId="2" applyNumberFormat="1" applyFont="1" applyFill="1" applyBorder="1"/>
    <xf numFmtId="0" fontId="15" fillId="16" borderId="26" xfId="0" applyFont="1" applyFill="1" applyBorder="1" applyAlignment="1">
      <alignment horizontal="left" indent="1"/>
    </xf>
    <xf numFmtId="165" fontId="13" fillId="16" borderId="26" xfId="2" applyNumberFormat="1" applyFont="1" applyFill="1" applyBorder="1"/>
    <xf numFmtId="0" fontId="16" fillId="13" borderId="28" xfId="0" applyFont="1" applyFill="1" applyBorder="1" applyAlignment="1">
      <alignment horizontal="centerContinuous"/>
    </xf>
    <xf numFmtId="0" fontId="12" fillId="13" borderId="29" xfId="0" applyFont="1" applyFill="1" applyBorder="1" applyAlignment="1">
      <alignment horizontal="centerContinuous"/>
    </xf>
    <xf numFmtId="0" fontId="3" fillId="13" borderId="29" xfId="0" applyFont="1" applyFill="1" applyBorder="1" applyAlignment="1">
      <alignment horizontal="centerContinuous"/>
    </xf>
    <xf numFmtId="0" fontId="3" fillId="13" borderId="30" xfId="0" applyFont="1" applyFill="1" applyBorder="1" applyAlignment="1">
      <alignment horizontal="centerContinuous"/>
    </xf>
    <xf numFmtId="0" fontId="16" fillId="7" borderId="28" xfId="0" applyFont="1" applyFill="1" applyBorder="1" applyAlignment="1">
      <alignment horizontal="centerContinuous"/>
    </xf>
    <xf numFmtId="0" fontId="2" fillId="7" borderId="29" xfId="0" applyFont="1" applyFill="1" applyBorder="1" applyAlignment="1">
      <alignment horizontal="centerContinuous"/>
    </xf>
    <xf numFmtId="0" fontId="2" fillId="7" borderId="30" xfId="0" applyFont="1" applyFill="1" applyBorder="1" applyAlignment="1">
      <alignment horizontal="centerContinuous"/>
    </xf>
    <xf numFmtId="0" fontId="16" fillId="19" borderId="28" xfId="0" applyFont="1" applyFill="1" applyBorder="1" applyAlignment="1">
      <alignment horizontal="centerContinuous"/>
    </xf>
    <xf numFmtId="0" fontId="3" fillId="19" borderId="29" xfId="0" applyFont="1" applyFill="1" applyBorder="1" applyAlignment="1">
      <alignment horizontal="centerContinuous"/>
    </xf>
    <xf numFmtId="0" fontId="3" fillId="19" borderId="30" xfId="0" applyFont="1" applyFill="1" applyBorder="1" applyAlignment="1">
      <alignment horizontal="centerContinuous"/>
    </xf>
    <xf numFmtId="0" fontId="16" fillId="11" borderId="28" xfId="0" applyFont="1" applyFill="1" applyBorder="1" applyAlignment="1">
      <alignment horizontal="centerContinuous"/>
    </xf>
    <xf numFmtId="0" fontId="2" fillId="11" borderId="29" xfId="0" applyFont="1" applyFill="1" applyBorder="1" applyAlignment="1">
      <alignment horizontal="centerContinuous"/>
    </xf>
    <xf numFmtId="0" fontId="2" fillId="11" borderId="30" xfId="0" applyFont="1" applyFill="1" applyBorder="1" applyAlignment="1">
      <alignment horizontal="centerContinuous"/>
    </xf>
    <xf numFmtId="167" fontId="29" fillId="2" borderId="4" xfId="1" applyNumberFormat="1" applyFont="1" applyFill="1" applyBorder="1"/>
    <xf numFmtId="43" fontId="9" fillId="2" borderId="4" xfId="1" applyFont="1" applyFill="1" applyBorder="1"/>
    <xf numFmtId="0" fontId="29" fillId="2" borderId="1" xfId="0" applyFont="1" applyFill="1" applyBorder="1" applyAlignment="1">
      <alignment horizontal="left" indent="1"/>
    </xf>
    <xf numFmtId="0" fontId="29" fillId="2" borderId="7" xfId="0" applyFont="1" applyFill="1" applyBorder="1" applyAlignment="1">
      <alignment horizontal="left" indent="1"/>
    </xf>
    <xf numFmtId="0" fontId="29" fillId="2" borderId="13" xfId="0" applyFont="1" applyFill="1" applyBorder="1" applyAlignment="1">
      <alignment horizontal="left" indent="1"/>
    </xf>
    <xf numFmtId="166" fontId="33" fillId="13" borderId="4" xfId="0" applyNumberFormat="1" applyFont="1" applyFill="1" applyBorder="1"/>
    <xf numFmtId="43" fontId="33" fillId="13" borderId="4" xfId="1" applyFont="1" applyFill="1" applyBorder="1"/>
    <xf numFmtId="43" fontId="33" fillId="13" borderId="4" xfId="1" applyFont="1" applyFill="1" applyBorder="1" applyAlignment="1">
      <alignment horizontal="centerContinuous"/>
    </xf>
    <xf numFmtId="167" fontId="37" fillId="13" borderId="4" xfId="1" applyNumberFormat="1" applyFont="1" applyFill="1" applyBorder="1"/>
    <xf numFmtId="0" fontId="32" fillId="2" borderId="8" xfId="0" applyFont="1" applyFill="1" applyBorder="1" applyAlignment="1">
      <alignment vertical="center"/>
    </xf>
    <xf numFmtId="0" fontId="32" fillId="2" borderId="17" xfId="0" applyFont="1" applyFill="1" applyBorder="1" applyAlignment="1">
      <alignment vertical="center"/>
    </xf>
    <xf numFmtId="0" fontId="32" fillId="2" borderId="0" xfId="0" applyFont="1" applyFill="1" applyAlignment="1">
      <alignment vertical="center"/>
    </xf>
    <xf numFmtId="0" fontId="32" fillId="2" borderId="8" xfId="0" applyFont="1" applyFill="1" applyBorder="1" applyAlignment="1">
      <alignment horizontal="left" vertical="center" indent="1"/>
    </xf>
    <xf numFmtId="0" fontId="32" fillId="2" borderId="17" xfId="0" applyFont="1" applyFill="1" applyBorder="1" applyAlignment="1">
      <alignment horizontal="left" vertical="center" indent="1"/>
    </xf>
    <xf numFmtId="0" fontId="32" fillId="2" borderId="0" xfId="0" applyFont="1" applyFill="1" applyAlignment="1">
      <alignment horizontal="left" vertical="center" indent="1"/>
    </xf>
    <xf numFmtId="0" fontId="32" fillId="2" borderId="14" xfId="0" applyFont="1" applyFill="1" applyBorder="1" applyAlignment="1">
      <alignment horizontal="left" vertical="center" indent="1"/>
    </xf>
    <xf numFmtId="0" fontId="32" fillId="2" borderId="19" xfId="0" applyFont="1" applyFill="1" applyBorder="1" applyAlignment="1">
      <alignment horizontal="left" vertical="center" indent="1"/>
    </xf>
    <xf numFmtId="0" fontId="32" fillId="2" borderId="19" xfId="0" applyFont="1" applyFill="1" applyBorder="1" applyAlignment="1">
      <alignment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6C2FF-53CB-4F43-930C-73457DA59685}">
  <sheetPr>
    <tabColor theme="5" tint="0.59999389629810485"/>
  </sheetPr>
  <dimension ref="A1:S49"/>
  <sheetViews>
    <sheetView tabSelected="1" zoomScaleNormal="100" workbookViewId="0">
      <selection activeCell="E19" sqref="E19"/>
    </sheetView>
  </sheetViews>
  <sheetFormatPr defaultColWidth="9.140625" defaultRowHeight="18.75" x14ac:dyDescent="0.3"/>
  <cols>
    <col min="1" max="1" width="3.7109375" style="39" customWidth="1"/>
    <col min="2" max="2" width="27" style="39" customWidth="1"/>
    <col min="3" max="3" width="33.140625" style="39" customWidth="1"/>
    <col min="4" max="4" width="16.7109375" style="39" customWidth="1"/>
    <col min="5" max="5" width="13.7109375" style="39" customWidth="1"/>
    <col min="6" max="6" width="3.7109375" style="39" customWidth="1"/>
    <col min="7" max="7" width="24.140625" style="39" customWidth="1"/>
    <col min="8" max="8" width="3.7109375" style="39" customWidth="1"/>
    <col min="9" max="9" width="26.140625" style="39" customWidth="1"/>
    <col min="10" max="11" width="13.7109375" style="39" customWidth="1"/>
    <col min="12" max="12" width="1.140625" style="39" customWidth="1"/>
    <col min="13" max="13" width="13.7109375" style="39" customWidth="1"/>
    <col min="14" max="14" width="14.42578125" style="39" customWidth="1"/>
    <col min="15" max="15" width="3.7109375" style="39" customWidth="1"/>
    <col min="16" max="16" width="13.7109375" style="39" customWidth="1"/>
    <col min="17" max="17" width="22" style="38" bestFit="1" customWidth="1"/>
    <col min="18" max="18" width="24.28515625" style="39" bestFit="1" customWidth="1"/>
    <col min="19" max="19" width="9.140625" style="39"/>
    <col min="20" max="20" width="11" style="39" customWidth="1"/>
    <col min="21" max="16384" width="9.140625" style="39"/>
  </cols>
  <sheetData>
    <row r="1" spans="1:19" x14ac:dyDescent="0.3">
      <c r="J1" s="144"/>
    </row>
    <row r="2" spans="1:19" x14ac:dyDescent="0.3">
      <c r="B2" s="155" t="s">
        <v>104</v>
      </c>
      <c r="C2" s="145"/>
      <c r="D2" s="145"/>
      <c r="E2" s="145"/>
      <c r="F2" s="145"/>
      <c r="G2" s="145"/>
      <c r="H2" s="145"/>
      <c r="I2" s="145"/>
      <c r="J2" s="144"/>
      <c r="O2" s="145"/>
    </row>
    <row r="4" spans="1:19" x14ac:dyDescent="0.3">
      <c r="B4" s="339" t="s">
        <v>132</v>
      </c>
      <c r="C4" s="340" t="s">
        <v>105</v>
      </c>
    </row>
    <row r="5" spans="1:19" x14ac:dyDescent="0.3">
      <c r="B5" s="339"/>
      <c r="C5" s="340" t="s">
        <v>146</v>
      </c>
    </row>
    <row r="6" spans="1:19" x14ac:dyDescent="0.3">
      <c r="B6" s="340"/>
      <c r="C6" s="340" t="s">
        <v>84</v>
      </c>
    </row>
    <row r="8" spans="1:19" x14ac:dyDescent="0.3">
      <c r="B8" s="53" t="s">
        <v>106</v>
      </c>
      <c r="C8" s="123"/>
      <c r="D8" s="53"/>
      <c r="E8" s="53"/>
      <c r="F8" s="53"/>
      <c r="G8" s="53"/>
      <c r="I8" s="53" t="s">
        <v>82</v>
      </c>
      <c r="J8" s="53"/>
      <c r="K8" s="53"/>
      <c r="L8" s="53"/>
      <c r="M8" s="53"/>
      <c r="N8" s="53"/>
      <c r="P8" s="53" t="s">
        <v>83</v>
      </c>
      <c r="Q8" s="53"/>
      <c r="R8" s="53"/>
    </row>
    <row r="9" spans="1:19" x14ac:dyDescent="0.3">
      <c r="B9" s="156" t="s">
        <v>15</v>
      </c>
      <c r="Q9" s="39"/>
    </row>
    <row r="10" spans="1:19" x14ac:dyDescent="0.3">
      <c r="A10" s="143"/>
      <c r="B10" s="33" t="s">
        <v>27</v>
      </c>
      <c r="I10" s="33" t="s">
        <v>34</v>
      </c>
      <c r="P10" s="47" t="s">
        <v>113</v>
      </c>
      <c r="Q10" s="48"/>
      <c r="R10" s="49"/>
    </row>
    <row r="11" spans="1:19" x14ac:dyDescent="0.3">
      <c r="B11" s="2" t="s">
        <v>0</v>
      </c>
      <c r="C11" s="3" t="s">
        <v>1</v>
      </c>
      <c r="D11" s="4" t="s">
        <v>147</v>
      </c>
      <c r="E11" s="5" t="s">
        <v>2</v>
      </c>
      <c r="G11" s="162" t="s">
        <v>107</v>
      </c>
      <c r="I11" s="50"/>
      <c r="J11" s="55" t="s">
        <v>109</v>
      </c>
      <c r="K11" s="55"/>
      <c r="M11" s="55" t="s">
        <v>100</v>
      </c>
      <c r="N11" s="55"/>
      <c r="Q11" s="39"/>
    </row>
    <row r="12" spans="1:19" x14ac:dyDescent="0.3">
      <c r="B12" s="6" t="s">
        <v>3</v>
      </c>
      <c r="C12" s="7"/>
      <c r="D12" s="8">
        <v>0.75</v>
      </c>
      <c r="E12" s="9">
        <v>20.475714656739679</v>
      </c>
      <c r="G12" s="157"/>
      <c r="I12" s="116" t="s">
        <v>0</v>
      </c>
      <c r="J12" s="168" t="s">
        <v>110</v>
      </c>
      <c r="K12" s="160" t="s">
        <v>2</v>
      </c>
      <c r="L12" s="45"/>
      <c r="M12" s="168" t="s">
        <v>110</v>
      </c>
      <c r="N12" s="160" t="s">
        <v>2</v>
      </c>
      <c r="P12" s="54" t="s">
        <v>31</v>
      </c>
      <c r="Q12" s="54" t="s">
        <v>115</v>
      </c>
      <c r="R12" s="54" t="s">
        <v>32</v>
      </c>
    </row>
    <row r="13" spans="1:19" x14ac:dyDescent="0.3">
      <c r="A13" s="143"/>
      <c r="B13" s="10" t="s">
        <v>30</v>
      </c>
      <c r="C13" s="11" t="s">
        <v>4</v>
      </c>
      <c r="D13" s="12">
        <v>9.4516934915515272E-2</v>
      </c>
      <c r="E13" s="13">
        <f>E12*(1+D13)</f>
        <v>22.411016446299406</v>
      </c>
      <c r="G13" s="163" t="s">
        <v>28</v>
      </c>
      <c r="I13" s="180" t="s">
        <v>30</v>
      </c>
      <c r="J13" s="158"/>
      <c r="K13" s="34">
        <f t="shared" ref="K13:K18" si="0">E13*$D$24*$D$25</f>
        <v>1.8675847038582838</v>
      </c>
      <c r="M13" s="159"/>
      <c r="N13" s="36">
        <f t="shared" ref="N13:N18" si="1">IF(G13="Fixed",E13*$D$24*$D$25,E13*$D$24)</f>
        <v>1.8675847038582838</v>
      </c>
      <c r="P13" s="42">
        <v>1</v>
      </c>
      <c r="Q13" s="44">
        <f>$K$26*P13</f>
        <v>4.9491741624524215</v>
      </c>
      <c r="R13" s="44">
        <f>Q13-$E$24</f>
        <v>-9.8983483249048412</v>
      </c>
      <c r="S13" s="51"/>
    </row>
    <row r="14" spans="1:19" x14ac:dyDescent="0.3">
      <c r="B14" s="10" t="s">
        <v>5</v>
      </c>
      <c r="C14" s="14" t="s">
        <v>6</v>
      </c>
      <c r="D14" s="15">
        <v>0.30503719588497769</v>
      </c>
      <c r="E14" s="13">
        <f>D14*$E$13</f>
        <v>6.8361936137112886</v>
      </c>
      <c r="G14" s="108" t="s">
        <v>28</v>
      </c>
      <c r="I14" s="165" t="s">
        <v>5</v>
      </c>
      <c r="J14" s="166">
        <f>K14/$K$13</f>
        <v>0.30503719588497769</v>
      </c>
      <c r="K14" s="13">
        <f t="shared" si="0"/>
        <v>0.56968280114260739</v>
      </c>
      <c r="M14" s="166">
        <f>N14/$N$13</f>
        <v>0.30503719588497769</v>
      </c>
      <c r="N14" s="169">
        <f t="shared" si="1"/>
        <v>0.56968280114260739</v>
      </c>
      <c r="P14" s="42">
        <v>2</v>
      </c>
      <c r="Q14" s="44">
        <f t="shared" ref="Q14:Q17" si="2">$K$26*P14</f>
        <v>9.898348324904843</v>
      </c>
      <c r="R14" s="44">
        <f>Q14-$E$24</f>
        <v>-4.9491741624524188</v>
      </c>
      <c r="S14" s="51"/>
    </row>
    <row r="15" spans="1:19" x14ac:dyDescent="0.3">
      <c r="B15" s="10" t="s">
        <v>7</v>
      </c>
      <c r="C15" s="14" t="s">
        <v>8</v>
      </c>
      <c r="D15" s="15">
        <v>0.22969520975750887</v>
      </c>
      <c r="E15" s="13">
        <f>D15*$E$13</f>
        <v>5.1477031235117234</v>
      </c>
      <c r="G15" s="170" t="s">
        <v>29</v>
      </c>
      <c r="I15" s="171" t="s">
        <v>7</v>
      </c>
      <c r="J15" s="172">
        <f>K15/$K$13</f>
        <v>0.22969520975750887</v>
      </c>
      <c r="K15" s="173">
        <f t="shared" si="0"/>
        <v>0.4289752602926436</v>
      </c>
      <c r="M15" s="172">
        <f>N15/$N$13</f>
        <v>0.6890856292725267</v>
      </c>
      <c r="N15" s="174">
        <f t="shared" si="1"/>
        <v>1.2869257808779309</v>
      </c>
      <c r="P15" s="42">
        <v>3</v>
      </c>
      <c r="Q15" s="44">
        <f t="shared" si="2"/>
        <v>14.847522487357264</v>
      </c>
      <c r="R15" s="44">
        <f>Q15-$E$24</f>
        <v>0</v>
      </c>
      <c r="S15" s="51"/>
    </row>
    <row r="16" spans="1:19" x14ac:dyDescent="0.3">
      <c r="B16" s="10" t="s">
        <v>9</v>
      </c>
      <c r="C16" s="14" t="s">
        <v>8</v>
      </c>
      <c r="D16" s="15">
        <v>0.34903051980656241</v>
      </c>
      <c r="E16" s="13">
        <f>D16*$E$13</f>
        <v>7.8221287196453009</v>
      </c>
      <c r="G16" s="170" t="s">
        <v>29</v>
      </c>
      <c r="I16" s="171" t="s">
        <v>9</v>
      </c>
      <c r="J16" s="172">
        <f>K16/$K$13</f>
        <v>0.34903051980656241</v>
      </c>
      <c r="K16" s="173">
        <f t="shared" si="0"/>
        <v>0.6518440599704417</v>
      </c>
      <c r="M16" s="172">
        <f>N16/$N$13</f>
        <v>1.0470915594196872</v>
      </c>
      <c r="N16" s="174">
        <f t="shared" si="1"/>
        <v>1.9555321799113252</v>
      </c>
      <c r="P16" s="42">
        <v>4</v>
      </c>
      <c r="Q16" s="44">
        <f t="shared" si="2"/>
        <v>19.796696649809686</v>
      </c>
      <c r="R16" s="44">
        <f>Q16-$E$24</f>
        <v>4.9491741624524241</v>
      </c>
      <c r="S16" s="51"/>
    </row>
    <row r="17" spans="2:19" x14ac:dyDescent="0.3">
      <c r="B17" s="10" t="s">
        <v>10</v>
      </c>
      <c r="C17" s="14" t="s">
        <v>11</v>
      </c>
      <c r="D17" s="15">
        <v>8.0415179311402865E-2</v>
      </c>
      <c r="E17" s="13">
        <f>D17*$E$13</f>
        <v>1.8021859060799654</v>
      </c>
      <c r="G17" s="108" t="s">
        <v>28</v>
      </c>
      <c r="I17" s="165" t="s">
        <v>10</v>
      </c>
      <c r="J17" s="166">
        <f>K17/$K$13</f>
        <v>8.0415179311402865E-2</v>
      </c>
      <c r="K17" s="13">
        <f t="shared" si="0"/>
        <v>0.15018215883999711</v>
      </c>
      <c r="M17" s="166">
        <f>N17/$N$13</f>
        <v>8.0415179311402865E-2</v>
      </c>
      <c r="N17" s="169">
        <f t="shared" si="1"/>
        <v>0.15018215883999711</v>
      </c>
      <c r="P17" s="42">
        <v>5</v>
      </c>
      <c r="Q17" s="44">
        <f t="shared" si="2"/>
        <v>24.745870812262108</v>
      </c>
      <c r="R17" s="44">
        <f>Q17-$E$24</f>
        <v>9.8983483249048465</v>
      </c>
    </row>
    <row r="18" spans="2:19" ht="19.5" thickBot="1" x14ac:dyDescent="0.35">
      <c r="B18" s="16" t="s">
        <v>12</v>
      </c>
      <c r="C18" s="17" t="s">
        <v>13</v>
      </c>
      <c r="D18" s="18">
        <v>0.28657972621821415</v>
      </c>
      <c r="E18" s="19">
        <f>D18*$E$13</f>
        <v>6.4225429574523787</v>
      </c>
      <c r="G18" s="175" t="s">
        <v>29</v>
      </c>
      <c r="I18" s="171" t="s">
        <v>12</v>
      </c>
      <c r="J18" s="172">
        <f>K18/$K$13</f>
        <v>0.28657972621821415</v>
      </c>
      <c r="K18" s="173">
        <f t="shared" si="0"/>
        <v>0.53521191312103156</v>
      </c>
      <c r="M18" s="172">
        <f>N18/$N$13</f>
        <v>0.85973917865464256</v>
      </c>
      <c r="N18" s="174">
        <f t="shared" si="1"/>
        <v>1.6056357393630947</v>
      </c>
      <c r="P18" s="38"/>
      <c r="Q18" s="39"/>
    </row>
    <row r="19" spans="2:19" ht="19.5" thickTop="1" x14ac:dyDescent="0.3">
      <c r="B19" s="20" t="s">
        <v>14</v>
      </c>
      <c r="C19" s="21" t="s">
        <v>15</v>
      </c>
      <c r="D19" s="22" t="s">
        <v>15</v>
      </c>
      <c r="E19" s="23">
        <f>SUM(E13:E18)</f>
        <v>50.44177076670006</v>
      </c>
      <c r="G19" s="164"/>
      <c r="I19" s="167"/>
      <c r="J19" s="158"/>
      <c r="K19" s="35"/>
      <c r="M19" s="159"/>
      <c r="N19" s="37"/>
      <c r="P19" s="181" t="s">
        <v>33</v>
      </c>
      <c r="Q19" s="39"/>
    </row>
    <row r="20" spans="2:19" x14ac:dyDescent="0.3">
      <c r="B20" s="10" t="s">
        <v>16</v>
      </c>
      <c r="C20" s="14" t="s">
        <v>17</v>
      </c>
      <c r="D20" s="15">
        <v>0.12</v>
      </c>
      <c r="E20" s="13">
        <f>E19/(1-D20)-E19</f>
        <v>6.8784232863681893</v>
      </c>
      <c r="G20" s="170" t="s">
        <v>29</v>
      </c>
      <c r="I20" s="171" t="s">
        <v>16</v>
      </c>
      <c r="J20" s="172">
        <f>K20/(SUM($K$13:$K$20))</f>
        <v>0.11999999999999997</v>
      </c>
      <c r="K20" s="173">
        <f>E20*$D$24*$D$25</f>
        <v>0.57320194053068241</v>
      </c>
      <c r="M20" s="172">
        <f>N20/(SUM($N$13:$N$20))</f>
        <v>0.1878293610222708</v>
      </c>
      <c r="N20" s="174">
        <f>IF(G20="Fixed",E20*$D$24*$D$25,E20*$D$24)</f>
        <v>1.7196058215920473</v>
      </c>
      <c r="Q20" s="39"/>
    </row>
    <row r="21" spans="2:19" ht="19.5" thickBot="1" x14ac:dyDescent="0.35">
      <c r="B21" s="16" t="s">
        <v>18</v>
      </c>
      <c r="C21" s="24" t="s">
        <v>19</v>
      </c>
      <c r="D21" s="25">
        <v>3.6111111111111108E-2</v>
      </c>
      <c r="E21" s="19">
        <f>D21*SUM(E19:E20)</f>
        <v>2.0698958963607978</v>
      </c>
      <c r="G21" s="175" t="s">
        <v>29</v>
      </c>
      <c r="I21" s="176" t="s">
        <v>18</v>
      </c>
      <c r="J21" s="177">
        <f>K21/SUM($K$13:$K$20)</f>
        <v>3.6111111111111101E-2</v>
      </c>
      <c r="K21" s="178">
        <f>E21*$D$24*$D$25</f>
        <v>0.17249132469673314</v>
      </c>
      <c r="M21" s="177">
        <f>N21/(SUM($N$13:$N$20))</f>
        <v>5.6522724381701861E-2</v>
      </c>
      <c r="N21" s="179">
        <f>IF(G21="Fixed",E21*$D$24*$D$25,E21*$D$24)</f>
        <v>0.51747397409019946</v>
      </c>
      <c r="P21" s="54" t="s">
        <v>31</v>
      </c>
      <c r="Q21" s="54" t="s">
        <v>115</v>
      </c>
      <c r="R21" s="54" t="s">
        <v>32</v>
      </c>
    </row>
    <row r="22" spans="2:19" ht="19.5" thickTop="1" x14ac:dyDescent="0.3">
      <c r="B22" s="20" t="s">
        <v>20</v>
      </c>
      <c r="C22" s="21" t="s">
        <v>15</v>
      </c>
      <c r="D22" s="22" t="s">
        <v>15</v>
      </c>
      <c r="E22" s="23">
        <f>SUM(E19:E21)</f>
        <v>59.390089949429047</v>
      </c>
      <c r="J22" s="493" t="s">
        <v>225</v>
      </c>
      <c r="K22" s="494"/>
      <c r="L22" s="495"/>
      <c r="M22" s="493" t="s">
        <v>227</v>
      </c>
      <c r="N22" s="494"/>
      <c r="P22" s="42">
        <v>1</v>
      </c>
      <c r="Q22" s="44">
        <f>$N$26*P22</f>
        <v>9.6726231596754868</v>
      </c>
      <c r="R22" s="44">
        <f>Q22-$E$24</f>
        <v>-5.174899327681775</v>
      </c>
    </row>
    <row r="23" spans="2:19" x14ac:dyDescent="0.3">
      <c r="B23" s="10" t="s">
        <v>21</v>
      </c>
      <c r="C23" s="14" t="s">
        <v>22</v>
      </c>
      <c r="D23" s="15" t="s">
        <v>15</v>
      </c>
      <c r="E23" s="13" t="s">
        <v>15</v>
      </c>
      <c r="J23" s="496" t="s">
        <v>108</v>
      </c>
      <c r="K23" s="497"/>
      <c r="L23" s="498"/>
      <c r="M23" s="496" t="s">
        <v>108</v>
      </c>
      <c r="N23" s="494"/>
      <c r="P23" s="42">
        <v>2</v>
      </c>
      <c r="Q23" s="44">
        <f t="shared" ref="Q23:Q26" si="3">$N$26*P23</f>
        <v>19.345246319350974</v>
      </c>
      <c r="R23" s="44">
        <f>Q23-$E$24</f>
        <v>4.4977238319937118</v>
      </c>
    </row>
    <row r="24" spans="2:19" x14ac:dyDescent="0.3">
      <c r="B24" s="119" t="s">
        <v>99</v>
      </c>
      <c r="C24" s="120" t="s">
        <v>15</v>
      </c>
      <c r="D24" s="121">
        <v>0.25</v>
      </c>
      <c r="E24" s="122">
        <f>E22*D24</f>
        <v>14.847522487357262</v>
      </c>
      <c r="I24" s="52"/>
      <c r="J24" s="499" t="s">
        <v>226</v>
      </c>
      <c r="K24" s="500"/>
      <c r="L24" s="498"/>
      <c r="M24" s="499" t="s">
        <v>226</v>
      </c>
      <c r="N24" s="501"/>
      <c r="P24" s="42">
        <v>3</v>
      </c>
      <c r="Q24" s="44">
        <f t="shared" si="3"/>
        <v>29.017869479026459</v>
      </c>
      <c r="R24" s="44">
        <f>Q24-$E$24</f>
        <v>14.170346991669197</v>
      </c>
    </row>
    <row r="25" spans="2:19" ht="19.5" thickBot="1" x14ac:dyDescent="0.35">
      <c r="B25" s="16" t="s">
        <v>23</v>
      </c>
      <c r="C25" s="17" t="s">
        <v>15</v>
      </c>
      <c r="D25" s="26">
        <v>0.33333333333333331</v>
      </c>
      <c r="E25" s="19" t="s">
        <v>15</v>
      </c>
      <c r="J25" s="40"/>
      <c r="P25" s="42">
        <v>4</v>
      </c>
      <c r="Q25" s="44">
        <f t="shared" si="3"/>
        <v>38.690492638701947</v>
      </c>
      <c r="R25" s="44">
        <f>Q25-$E$24</f>
        <v>23.842970151344687</v>
      </c>
    </row>
    <row r="26" spans="2:19" ht="19.5" thickTop="1" x14ac:dyDescent="0.3">
      <c r="B26" s="20" t="s">
        <v>24</v>
      </c>
      <c r="C26" s="21" t="s">
        <v>15</v>
      </c>
      <c r="D26" s="22" t="s">
        <v>15</v>
      </c>
      <c r="E26" s="27">
        <f>E24*D25</f>
        <v>4.9491741624524206</v>
      </c>
      <c r="I26" s="161" t="s">
        <v>24</v>
      </c>
      <c r="J26" s="35"/>
      <c r="K26" s="34">
        <f>SUM(K13:K21)</f>
        <v>4.9491741624524215</v>
      </c>
      <c r="M26" s="35"/>
      <c r="N26" s="36">
        <f>SUM(N13:N21)</f>
        <v>9.6726231596754868</v>
      </c>
      <c r="P26" s="42">
        <v>5</v>
      </c>
      <c r="Q26" s="44">
        <f t="shared" si="3"/>
        <v>48.363115798377436</v>
      </c>
      <c r="R26" s="44">
        <f>Q26-$E$24</f>
        <v>33.515593311020176</v>
      </c>
    </row>
    <row r="27" spans="2:19" ht="19.5" thickBot="1" x14ac:dyDescent="0.35">
      <c r="B27" s="16" t="s">
        <v>25</v>
      </c>
      <c r="C27" s="17" t="s">
        <v>15</v>
      </c>
      <c r="D27" s="28">
        <v>0.9</v>
      </c>
      <c r="E27" s="19" t="s">
        <v>15</v>
      </c>
      <c r="I27" s="182" t="s">
        <v>114</v>
      </c>
      <c r="Q27" s="39"/>
      <c r="S27" s="41"/>
    </row>
    <row r="28" spans="2:19" ht="19.5" thickTop="1" x14ac:dyDescent="0.3">
      <c r="B28" s="29" t="s">
        <v>26</v>
      </c>
      <c r="C28" s="30" t="s">
        <v>15</v>
      </c>
      <c r="D28" s="31" t="s">
        <v>15</v>
      </c>
      <c r="E28" s="32">
        <f>E26*D27</f>
        <v>4.4542567462071787</v>
      </c>
      <c r="Q28" s="39"/>
      <c r="S28" s="41"/>
    </row>
    <row r="29" spans="2:19" x14ac:dyDescent="0.3">
      <c r="B29" s="183"/>
      <c r="C29" s="140"/>
      <c r="D29" s="141"/>
      <c r="E29" s="142"/>
      <c r="Q29" s="39"/>
      <c r="S29" s="41"/>
    </row>
    <row r="30" spans="2:19" x14ac:dyDescent="0.3">
      <c r="B30" s="341" t="s">
        <v>98</v>
      </c>
      <c r="C30" s="342"/>
      <c r="D30" s="141"/>
      <c r="E30" s="142"/>
      <c r="G30" s="142"/>
      <c r="Q30" s="39"/>
      <c r="S30" s="41"/>
    </row>
    <row r="31" spans="2:19" x14ac:dyDescent="0.3">
      <c r="B31" s="341" t="s">
        <v>148</v>
      </c>
      <c r="C31" s="342"/>
      <c r="D31" s="141"/>
      <c r="E31" s="142"/>
      <c r="G31" s="142"/>
      <c r="Q31" s="39"/>
      <c r="S31" s="41"/>
    </row>
    <row r="32" spans="2:19" x14ac:dyDescent="0.3">
      <c r="B32" s="118"/>
      <c r="C32" s="118"/>
      <c r="Q32" s="1"/>
      <c r="R32" s="1"/>
      <c r="S32" s="41"/>
    </row>
    <row r="33" spans="1:18" x14ac:dyDescent="0.3">
      <c r="B33" s="343" t="s">
        <v>133</v>
      </c>
      <c r="C33" s="118" t="s">
        <v>111</v>
      </c>
      <c r="Q33" s="1"/>
      <c r="R33" s="1"/>
    </row>
    <row r="34" spans="1:18" x14ac:dyDescent="0.3">
      <c r="B34" s="118"/>
      <c r="C34" s="344" t="s">
        <v>135</v>
      </c>
      <c r="Q34" s="1"/>
      <c r="R34" s="1"/>
    </row>
    <row r="35" spans="1:18" x14ac:dyDescent="0.3">
      <c r="B35" s="118"/>
      <c r="C35" s="344" t="s">
        <v>136</v>
      </c>
      <c r="Q35" s="1"/>
      <c r="R35" s="1"/>
    </row>
    <row r="36" spans="1:18" x14ac:dyDescent="0.3">
      <c r="B36" s="118"/>
      <c r="C36" s="118" t="s">
        <v>85</v>
      </c>
      <c r="D36" s="118"/>
    </row>
    <row r="38" spans="1:18" s="124" customFormat="1" x14ac:dyDescent="0.3">
      <c r="Q38" s="125"/>
    </row>
    <row r="40" spans="1:18" ht="21" x14ac:dyDescent="0.35">
      <c r="B40" s="136" t="s">
        <v>112</v>
      </c>
    </row>
    <row r="42" spans="1:18" x14ac:dyDescent="0.3">
      <c r="B42" s="39" t="s">
        <v>86</v>
      </c>
    </row>
    <row r="43" spans="1:18" x14ac:dyDescent="0.3">
      <c r="A43" s="143"/>
      <c r="B43" s="52" t="s">
        <v>87</v>
      </c>
      <c r="F43" s="52"/>
      <c r="G43" s="52" t="s">
        <v>97</v>
      </c>
      <c r="H43" s="52"/>
      <c r="O43" s="52"/>
      <c r="P43" s="38"/>
      <c r="Q43" s="39"/>
    </row>
    <row r="44" spans="1:18" s="130" customFormat="1" x14ac:dyDescent="0.3">
      <c r="A44" s="39"/>
      <c r="B44" s="131" t="s">
        <v>90</v>
      </c>
      <c r="D44" s="132"/>
      <c r="G44" s="130" t="s">
        <v>91</v>
      </c>
      <c r="P44" s="133"/>
    </row>
    <row r="45" spans="1:18" s="126" customFormat="1" x14ac:dyDescent="0.3">
      <c r="A45" s="39"/>
      <c r="B45" s="127" t="s">
        <v>88</v>
      </c>
      <c r="D45" s="128"/>
      <c r="G45" s="126" t="s">
        <v>92</v>
      </c>
      <c r="P45" s="129"/>
    </row>
    <row r="46" spans="1:18" s="126" customFormat="1" x14ac:dyDescent="0.3">
      <c r="A46" s="39"/>
      <c r="D46" s="128"/>
      <c r="F46" s="135"/>
      <c r="G46" s="135" t="s">
        <v>93</v>
      </c>
      <c r="H46" s="135"/>
      <c r="O46" s="135"/>
      <c r="P46" s="129"/>
    </row>
    <row r="47" spans="1:18" s="130" customFormat="1" x14ac:dyDescent="0.3">
      <c r="A47" s="39"/>
      <c r="B47" s="131" t="s">
        <v>89</v>
      </c>
      <c r="D47" s="132"/>
      <c r="G47" s="130" t="s">
        <v>94</v>
      </c>
      <c r="P47" s="133"/>
    </row>
    <row r="48" spans="1:18" s="130" customFormat="1" x14ac:dyDescent="0.3">
      <c r="A48" s="39"/>
      <c r="D48" s="132"/>
      <c r="F48" s="134"/>
      <c r="G48" s="134" t="s">
        <v>95</v>
      </c>
      <c r="H48" s="134"/>
      <c r="O48" s="134"/>
      <c r="P48" s="133"/>
    </row>
    <row r="49" spans="1:16" s="130" customFormat="1" x14ac:dyDescent="0.3">
      <c r="A49" s="39"/>
      <c r="F49" s="134"/>
      <c r="G49" s="134" t="s">
        <v>96</v>
      </c>
      <c r="H49" s="134"/>
      <c r="O49" s="134"/>
      <c r="P49" s="13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DDBF9-7D25-4251-A58F-F63CBF785107}">
  <sheetPr>
    <tabColor theme="7" tint="0.79998168889431442"/>
  </sheetPr>
  <dimension ref="B1:AA70"/>
  <sheetViews>
    <sheetView zoomScaleNormal="100" workbookViewId="0">
      <selection activeCell="H17" sqref="H17"/>
    </sheetView>
  </sheetViews>
  <sheetFormatPr defaultColWidth="9.140625" defaultRowHeight="15" x14ac:dyDescent="0.25"/>
  <cols>
    <col min="1" max="2" width="3.7109375" style="1" customWidth="1"/>
    <col min="3" max="9" width="22.7109375" style="1" customWidth="1"/>
    <col min="10" max="10" width="3.7109375" style="1" customWidth="1"/>
    <col min="11" max="11" width="19.7109375" style="1" customWidth="1"/>
    <col min="12" max="12" width="3.7109375" style="1" customWidth="1"/>
    <col min="13" max="13" width="19.7109375" style="1" customWidth="1"/>
    <col min="14" max="14" width="22.7109375" style="1" customWidth="1"/>
    <col min="15" max="15" width="3.7109375" style="1" customWidth="1"/>
    <col min="16" max="16" width="19.7109375" style="1" customWidth="1"/>
    <col min="17" max="17" width="3.7109375" style="1" customWidth="1"/>
    <col min="18" max="22" width="22.7109375" style="1" customWidth="1"/>
    <col min="23" max="23" width="3.7109375" style="1" customWidth="1"/>
    <col min="24" max="27" width="22.7109375" style="1" customWidth="1"/>
    <col min="28" max="16384" width="9.140625" style="1"/>
  </cols>
  <sheetData>
    <row r="1" spans="2:21" ht="18.75" x14ac:dyDescent="0.3">
      <c r="C1" s="143"/>
    </row>
    <row r="2" spans="2:21" ht="18.75" x14ac:dyDescent="0.3">
      <c r="B2" s="184" t="s">
        <v>101</v>
      </c>
      <c r="M2" s="149"/>
    </row>
    <row r="3" spans="2:21" ht="18.75" x14ac:dyDescent="0.3">
      <c r="B3" s="184"/>
      <c r="M3" s="149"/>
    </row>
    <row r="4" spans="2:21" ht="18.75" x14ac:dyDescent="0.3">
      <c r="B4" s="339" t="s">
        <v>137</v>
      </c>
      <c r="C4" s="340"/>
      <c r="M4" s="149"/>
    </row>
    <row r="5" spans="2:21" ht="18.75" x14ac:dyDescent="0.3">
      <c r="B5" s="339"/>
      <c r="C5" s="340" t="s">
        <v>134</v>
      </c>
      <c r="M5" s="149"/>
    </row>
    <row r="6" spans="2:21" ht="18.75" x14ac:dyDescent="0.3">
      <c r="B6" s="338"/>
      <c r="C6" s="144"/>
      <c r="M6" s="149"/>
    </row>
    <row r="7" spans="2:21" ht="18.75" x14ac:dyDescent="0.3">
      <c r="D7" s="83"/>
      <c r="E7" s="83"/>
      <c r="F7" s="205" t="s">
        <v>116</v>
      </c>
      <c r="G7" s="205"/>
      <c r="H7" s="205" t="s">
        <v>116</v>
      </c>
      <c r="I7" s="205"/>
      <c r="J7" s="205"/>
      <c r="K7" s="205"/>
      <c r="L7" s="205" t="s">
        <v>116</v>
      </c>
      <c r="M7" s="205"/>
    </row>
    <row r="8" spans="2:21" s="148" customFormat="1" ht="37.5" x14ac:dyDescent="0.25">
      <c r="C8" s="196"/>
      <c r="D8" s="197"/>
      <c r="E8" s="197"/>
      <c r="F8" s="203" t="s">
        <v>149</v>
      </c>
      <c r="G8" s="197"/>
      <c r="H8" s="212" t="s">
        <v>150</v>
      </c>
      <c r="I8" s="212"/>
      <c r="J8" s="197"/>
      <c r="K8" s="197"/>
      <c r="L8" s="206" t="s">
        <v>151</v>
      </c>
      <c r="M8" s="206"/>
      <c r="N8" s="206"/>
      <c r="O8" s="206"/>
      <c r="P8" s="206"/>
      <c r="Q8" s="206"/>
      <c r="R8" s="206"/>
      <c r="S8" s="206"/>
    </row>
    <row r="9" spans="2:21" ht="18.75" x14ac:dyDescent="0.3">
      <c r="C9" s="82"/>
      <c r="D9" s="83"/>
      <c r="E9" s="83"/>
      <c r="G9" s="83"/>
      <c r="H9" s="83"/>
      <c r="I9" s="83"/>
      <c r="J9" s="83"/>
      <c r="K9" s="83"/>
    </row>
    <row r="10" spans="2:21" ht="19.5" thickBot="1" x14ac:dyDescent="0.35">
      <c r="B10" s="82" t="s">
        <v>56</v>
      </c>
      <c r="C10" s="82"/>
      <c r="D10" s="83"/>
      <c r="E10" s="83"/>
      <c r="G10" s="83"/>
      <c r="H10" s="83"/>
      <c r="I10" s="83"/>
      <c r="J10" s="83"/>
      <c r="K10" s="83"/>
    </row>
    <row r="11" spans="2:21" ht="18.75" x14ac:dyDescent="0.3">
      <c r="B11" s="185"/>
      <c r="C11" s="186"/>
      <c r="D11" s="186"/>
      <c r="E11" s="186"/>
      <c r="F11" s="187"/>
      <c r="G11" s="186" t="s">
        <v>35</v>
      </c>
      <c r="H11" s="186" t="s">
        <v>36</v>
      </c>
      <c r="I11" s="186"/>
      <c r="J11" s="191"/>
      <c r="K11" s="98"/>
    </row>
    <row r="12" spans="2:21" ht="18.75" x14ac:dyDescent="0.3">
      <c r="B12" s="188"/>
      <c r="C12" s="189"/>
      <c r="D12" s="189"/>
      <c r="E12" s="189"/>
      <c r="F12" s="190"/>
      <c r="G12" s="84" t="s">
        <v>37</v>
      </c>
      <c r="H12" s="84"/>
      <c r="I12" s="189"/>
      <c r="J12" s="192"/>
      <c r="K12" s="98"/>
      <c r="N12" s="67" t="s">
        <v>53</v>
      </c>
      <c r="O12" s="280"/>
      <c r="P12" s="281"/>
      <c r="R12" s="67" t="s">
        <v>54</v>
      </c>
      <c r="S12" s="73"/>
    </row>
    <row r="13" spans="2:21" ht="18.75" x14ac:dyDescent="0.3">
      <c r="B13" s="188"/>
      <c r="C13" s="198" t="s">
        <v>38</v>
      </c>
      <c r="D13" s="198" t="s">
        <v>39</v>
      </c>
      <c r="E13" s="198" t="s">
        <v>40</v>
      </c>
      <c r="F13" s="198" t="s">
        <v>41</v>
      </c>
      <c r="G13" s="198" t="s">
        <v>42</v>
      </c>
      <c r="H13" s="198" t="s">
        <v>43</v>
      </c>
      <c r="I13" s="198" t="s">
        <v>44</v>
      </c>
      <c r="J13" s="192"/>
      <c r="K13" s="98"/>
      <c r="L13" s="275" t="s">
        <v>38</v>
      </c>
      <c r="M13" s="275"/>
      <c r="N13" s="279" t="s">
        <v>50</v>
      </c>
      <c r="O13" s="282" t="s">
        <v>51</v>
      </c>
      <c r="P13" s="283"/>
      <c r="R13" s="56" t="s">
        <v>50</v>
      </c>
      <c r="S13" s="56" t="s">
        <v>51</v>
      </c>
    </row>
    <row r="14" spans="2:21" ht="18.75" x14ac:dyDescent="0.3">
      <c r="B14" s="188"/>
      <c r="C14" s="86" t="s">
        <v>45</v>
      </c>
      <c r="D14" s="87">
        <v>1</v>
      </c>
      <c r="E14" s="88">
        <v>26</v>
      </c>
      <c r="F14" s="199">
        <v>2</v>
      </c>
      <c r="G14" s="88">
        <f>SUM(E14:F14)</f>
        <v>28</v>
      </c>
      <c r="H14" s="213">
        <f>G14</f>
        <v>28</v>
      </c>
      <c r="I14" s="213">
        <v>30</v>
      </c>
      <c r="J14" s="192"/>
      <c r="K14" s="98"/>
      <c r="L14" s="208" t="s">
        <v>45</v>
      </c>
      <c r="M14" s="208"/>
      <c r="N14" s="284">
        <f t="shared" ref="N14:N24" si="0">G14/D14</f>
        <v>28</v>
      </c>
      <c r="O14" s="351">
        <f t="shared" ref="O14:O24" si="1">N14*D14</f>
        <v>28</v>
      </c>
      <c r="P14" s="253"/>
      <c r="R14" s="150">
        <f t="shared" ref="R14:R24" si="2">H14/D14</f>
        <v>28</v>
      </c>
      <c r="S14" s="63">
        <f t="shared" ref="S14:S24" si="3">R14*D14</f>
        <v>28</v>
      </c>
    </row>
    <row r="15" spans="2:21" ht="18.75" x14ac:dyDescent="0.3">
      <c r="B15" s="188"/>
      <c r="C15" s="86" t="s">
        <v>46</v>
      </c>
      <c r="D15" s="87">
        <v>1</v>
      </c>
      <c r="E15" s="88">
        <v>13</v>
      </c>
      <c r="F15" s="199">
        <v>2</v>
      </c>
      <c r="G15" s="88">
        <f>SUM(E15:F15)</f>
        <v>15</v>
      </c>
      <c r="H15" s="213">
        <f>G15</f>
        <v>15</v>
      </c>
      <c r="I15" s="213">
        <f>I14/2</f>
        <v>15</v>
      </c>
      <c r="J15" s="192"/>
      <c r="K15" s="98"/>
      <c r="L15" s="208" t="s">
        <v>46</v>
      </c>
      <c r="M15" s="208"/>
      <c r="N15" s="284">
        <f t="shared" si="0"/>
        <v>15</v>
      </c>
      <c r="O15" s="352">
        <f t="shared" si="1"/>
        <v>15</v>
      </c>
      <c r="P15" s="253"/>
      <c r="R15" s="150">
        <f t="shared" si="2"/>
        <v>15</v>
      </c>
      <c r="S15" s="63">
        <f t="shared" si="3"/>
        <v>15</v>
      </c>
    </row>
    <row r="16" spans="2:21" ht="18.75" x14ac:dyDescent="0.3">
      <c r="B16" s="188"/>
      <c r="C16" s="89" t="s">
        <v>47</v>
      </c>
      <c r="D16" s="90">
        <v>2</v>
      </c>
      <c r="E16" s="91">
        <v>13</v>
      </c>
      <c r="F16" s="200">
        <v>4</v>
      </c>
      <c r="G16" s="91">
        <f t="shared" ref="G16:G24" si="4">SUM(E16:F16)</f>
        <v>17</v>
      </c>
      <c r="H16" s="214">
        <f>AVERAGE($G$16:$G$19)</f>
        <v>20</v>
      </c>
      <c r="I16" s="214">
        <f>E16+F16/D16</f>
        <v>15</v>
      </c>
      <c r="J16" s="192"/>
      <c r="K16" s="98"/>
      <c r="L16" s="209" t="s">
        <v>47</v>
      </c>
      <c r="M16" s="209"/>
      <c r="N16" s="287">
        <f t="shared" si="0"/>
        <v>8.5</v>
      </c>
      <c r="O16" s="352">
        <f t="shared" si="1"/>
        <v>17</v>
      </c>
      <c r="P16" s="253"/>
      <c r="R16" s="151">
        <f t="shared" si="2"/>
        <v>10</v>
      </c>
      <c r="S16" s="64">
        <f t="shared" si="3"/>
        <v>20</v>
      </c>
      <c r="U16" s="40"/>
    </row>
    <row r="17" spans="2:24" ht="18.75" x14ac:dyDescent="0.3">
      <c r="B17" s="188"/>
      <c r="C17" s="92" t="s">
        <v>47</v>
      </c>
      <c r="D17" s="93">
        <v>3</v>
      </c>
      <c r="E17" s="94">
        <v>13</v>
      </c>
      <c r="F17" s="201">
        <v>6</v>
      </c>
      <c r="G17" s="94">
        <f t="shared" si="4"/>
        <v>19</v>
      </c>
      <c r="H17" s="215">
        <f>AVERAGE($G$16:$G$19)</f>
        <v>20</v>
      </c>
      <c r="I17" s="215">
        <f t="shared" ref="I17:I24" si="5">E17+F17/D17</f>
        <v>15</v>
      </c>
      <c r="J17" s="192"/>
      <c r="K17" s="98"/>
      <c r="L17" s="210" t="s">
        <v>47</v>
      </c>
      <c r="M17" s="210"/>
      <c r="N17" s="286">
        <f t="shared" si="0"/>
        <v>6.333333333333333</v>
      </c>
      <c r="O17" s="353">
        <f t="shared" si="1"/>
        <v>19</v>
      </c>
      <c r="P17" s="349"/>
      <c r="R17" s="152">
        <f t="shared" si="2"/>
        <v>6.666666666666667</v>
      </c>
      <c r="S17" s="65">
        <f t="shared" si="3"/>
        <v>20</v>
      </c>
      <c r="U17" s="40"/>
    </row>
    <row r="18" spans="2:24" ht="18.75" x14ac:dyDescent="0.3">
      <c r="B18" s="188"/>
      <c r="C18" s="92" t="s">
        <v>47</v>
      </c>
      <c r="D18" s="93">
        <v>4</v>
      </c>
      <c r="E18" s="94">
        <v>13</v>
      </c>
      <c r="F18" s="201">
        <v>8</v>
      </c>
      <c r="G18" s="94">
        <f t="shared" si="4"/>
        <v>21</v>
      </c>
      <c r="H18" s="215">
        <f>AVERAGE($G$16:$G$19)</f>
        <v>20</v>
      </c>
      <c r="I18" s="215">
        <f t="shared" si="5"/>
        <v>15</v>
      </c>
      <c r="J18" s="192"/>
      <c r="K18" s="98"/>
      <c r="L18" s="210" t="s">
        <v>47</v>
      </c>
      <c r="M18" s="210"/>
      <c r="N18" s="286">
        <f t="shared" si="0"/>
        <v>5.25</v>
      </c>
      <c r="O18" s="353">
        <f t="shared" si="1"/>
        <v>21</v>
      </c>
      <c r="P18" s="349"/>
      <c r="R18" s="152">
        <f t="shared" si="2"/>
        <v>5</v>
      </c>
      <c r="S18" s="65">
        <f t="shared" si="3"/>
        <v>20</v>
      </c>
      <c r="U18" s="40"/>
    </row>
    <row r="19" spans="2:24" ht="18.75" x14ac:dyDescent="0.3">
      <c r="B19" s="188"/>
      <c r="C19" s="95" t="s">
        <v>47</v>
      </c>
      <c r="D19" s="96">
        <v>5</v>
      </c>
      <c r="E19" s="97">
        <v>13</v>
      </c>
      <c r="F19" s="202">
        <v>10</v>
      </c>
      <c r="G19" s="97">
        <f t="shared" si="4"/>
        <v>23</v>
      </c>
      <c r="H19" s="216">
        <f>AVERAGE($G$16:$G$19)</f>
        <v>20</v>
      </c>
      <c r="I19" s="216">
        <f t="shared" si="5"/>
        <v>15</v>
      </c>
      <c r="J19" s="192"/>
      <c r="K19" s="98"/>
      <c r="L19" s="211" t="s">
        <v>47</v>
      </c>
      <c r="M19" s="211"/>
      <c r="N19" s="285">
        <f t="shared" si="0"/>
        <v>4.5999999999999996</v>
      </c>
      <c r="O19" s="353">
        <f t="shared" si="1"/>
        <v>23</v>
      </c>
      <c r="P19" s="349"/>
      <c r="R19" s="153">
        <f t="shared" si="2"/>
        <v>4</v>
      </c>
      <c r="S19" s="66">
        <f t="shared" si="3"/>
        <v>20</v>
      </c>
      <c r="U19" s="40"/>
    </row>
    <row r="20" spans="2:24" ht="18.75" x14ac:dyDescent="0.3">
      <c r="B20" s="188"/>
      <c r="C20" s="92" t="s">
        <v>48</v>
      </c>
      <c r="D20" s="93">
        <v>6</v>
      </c>
      <c r="E20" s="94">
        <v>13</v>
      </c>
      <c r="F20" s="201">
        <v>12</v>
      </c>
      <c r="G20" s="94">
        <f t="shared" si="4"/>
        <v>25</v>
      </c>
      <c r="H20" s="214">
        <f>AVERAGE($G$20:$G$24)</f>
        <v>29</v>
      </c>
      <c r="I20" s="215">
        <f t="shared" si="5"/>
        <v>15</v>
      </c>
      <c r="J20" s="192"/>
      <c r="K20" s="98"/>
      <c r="L20" s="210" t="s">
        <v>48</v>
      </c>
      <c r="M20" s="210"/>
      <c r="N20" s="286">
        <f t="shared" si="0"/>
        <v>4.166666666666667</v>
      </c>
      <c r="O20" s="352">
        <f t="shared" si="1"/>
        <v>25</v>
      </c>
      <c r="P20" s="253"/>
      <c r="R20" s="152">
        <f t="shared" si="2"/>
        <v>4.833333333333333</v>
      </c>
      <c r="S20" s="65">
        <f t="shared" si="3"/>
        <v>29</v>
      </c>
      <c r="U20" s="40"/>
    </row>
    <row r="21" spans="2:24" ht="18.75" x14ac:dyDescent="0.3">
      <c r="B21" s="188"/>
      <c r="C21" s="92" t="s">
        <v>48</v>
      </c>
      <c r="D21" s="93">
        <v>7</v>
      </c>
      <c r="E21" s="94">
        <v>13</v>
      </c>
      <c r="F21" s="201">
        <v>14</v>
      </c>
      <c r="G21" s="94">
        <f t="shared" si="4"/>
        <v>27</v>
      </c>
      <c r="H21" s="215">
        <f>AVERAGE($G$20:$G$24)</f>
        <v>29</v>
      </c>
      <c r="I21" s="215">
        <f t="shared" si="5"/>
        <v>15</v>
      </c>
      <c r="J21" s="192"/>
      <c r="K21" s="98"/>
      <c r="L21" s="210" t="s">
        <v>48</v>
      </c>
      <c r="M21" s="210"/>
      <c r="N21" s="286">
        <f t="shared" si="0"/>
        <v>3.8571428571428572</v>
      </c>
      <c r="O21" s="353">
        <f t="shared" si="1"/>
        <v>27</v>
      </c>
      <c r="P21" s="349"/>
      <c r="R21" s="152">
        <f t="shared" si="2"/>
        <v>4.1428571428571432</v>
      </c>
      <c r="S21" s="65">
        <f t="shared" si="3"/>
        <v>29.000000000000004</v>
      </c>
      <c r="U21" s="40"/>
    </row>
    <row r="22" spans="2:24" ht="18.75" x14ac:dyDescent="0.3">
      <c r="B22" s="188"/>
      <c r="C22" s="92" t="s">
        <v>48</v>
      </c>
      <c r="D22" s="93">
        <v>8</v>
      </c>
      <c r="E22" s="94">
        <v>13</v>
      </c>
      <c r="F22" s="201">
        <v>16</v>
      </c>
      <c r="G22" s="94">
        <f t="shared" si="4"/>
        <v>29</v>
      </c>
      <c r="H22" s="215">
        <f>AVERAGE($G$20:$G$24)</f>
        <v>29</v>
      </c>
      <c r="I22" s="215">
        <f t="shared" si="5"/>
        <v>15</v>
      </c>
      <c r="J22" s="192"/>
      <c r="K22" s="98"/>
      <c r="L22" s="210" t="s">
        <v>48</v>
      </c>
      <c r="M22" s="210"/>
      <c r="N22" s="286">
        <f t="shared" si="0"/>
        <v>3.625</v>
      </c>
      <c r="O22" s="353">
        <f t="shared" si="1"/>
        <v>29</v>
      </c>
      <c r="P22" s="349"/>
      <c r="R22" s="152">
        <f t="shared" si="2"/>
        <v>3.625</v>
      </c>
      <c r="S22" s="65">
        <f t="shared" si="3"/>
        <v>29</v>
      </c>
      <c r="U22" s="40"/>
    </row>
    <row r="23" spans="2:24" ht="18.75" x14ac:dyDescent="0.3">
      <c r="B23" s="188"/>
      <c r="C23" s="92" t="s">
        <v>48</v>
      </c>
      <c r="D23" s="93">
        <v>9</v>
      </c>
      <c r="E23" s="94">
        <v>13</v>
      </c>
      <c r="F23" s="201">
        <v>18</v>
      </c>
      <c r="G23" s="94">
        <f t="shared" si="4"/>
        <v>31</v>
      </c>
      <c r="H23" s="215">
        <f>AVERAGE($G$20:$G$24)</f>
        <v>29</v>
      </c>
      <c r="I23" s="215">
        <f t="shared" si="5"/>
        <v>15</v>
      </c>
      <c r="J23" s="192"/>
      <c r="K23" s="98"/>
      <c r="L23" s="210" t="s">
        <v>48</v>
      </c>
      <c r="M23" s="210"/>
      <c r="N23" s="286">
        <f t="shared" si="0"/>
        <v>3.4444444444444446</v>
      </c>
      <c r="O23" s="353">
        <f t="shared" si="1"/>
        <v>31</v>
      </c>
      <c r="P23" s="349"/>
      <c r="R23" s="152">
        <f t="shared" si="2"/>
        <v>3.2222222222222223</v>
      </c>
      <c r="S23" s="65">
        <f t="shared" si="3"/>
        <v>29</v>
      </c>
      <c r="U23" s="40"/>
    </row>
    <row r="24" spans="2:24" ht="18.75" x14ac:dyDescent="0.3">
      <c r="B24" s="188"/>
      <c r="C24" s="95" t="s">
        <v>48</v>
      </c>
      <c r="D24" s="96">
        <v>10</v>
      </c>
      <c r="E24" s="97">
        <v>13</v>
      </c>
      <c r="F24" s="202">
        <v>20</v>
      </c>
      <c r="G24" s="97">
        <f t="shared" si="4"/>
        <v>33</v>
      </c>
      <c r="H24" s="216">
        <f>AVERAGE($G$20:$G$24)</f>
        <v>29</v>
      </c>
      <c r="I24" s="216">
        <f t="shared" si="5"/>
        <v>15</v>
      </c>
      <c r="J24" s="192"/>
      <c r="K24" s="98"/>
      <c r="L24" s="211" t="s">
        <v>48</v>
      </c>
      <c r="M24" s="211"/>
      <c r="N24" s="285">
        <f t="shared" si="0"/>
        <v>3.3</v>
      </c>
      <c r="O24" s="354">
        <f t="shared" si="1"/>
        <v>33</v>
      </c>
      <c r="P24" s="350"/>
      <c r="R24" s="153">
        <f t="shared" si="2"/>
        <v>2.9</v>
      </c>
      <c r="S24" s="66">
        <f t="shared" si="3"/>
        <v>29</v>
      </c>
      <c r="U24" s="40"/>
    </row>
    <row r="25" spans="2:24" ht="19.5" thickBot="1" x14ac:dyDescent="0.35">
      <c r="B25" s="194"/>
      <c r="C25" s="195"/>
      <c r="D25" s="195"/>
      <c r="E25" s="195"/>
      <c r="F25" s="195"/>
      <c r="G25" s="195"/>
      <c r="H25" s="195"/>
      <c r="I25" s="195"/>
      <c r="J25" s="193"/>
      <c r="K25" s="98"/>
      <c r="L25" s="98"/>
      <c r="M25" s="98"/>
      <c r="U25" s="40"/>
    </row>
    <row r="27" spans="2:24" ht="18.75" x14ac:dyDescent="0.3">
      <c r="B27" s="340" t="s">
        <v>139</v>
      </c>
      <c r="C27" s="345"/>
      <c r="D27" s="232"/>
      <c r="E27" s="232"/>
      <c r="F27" s="232"/>
      <c r="G27" s="232"/>
      <c r="H27" s="232"/>
      <c r="I27" s="232"/>
      <c r="J27" s="232"/>
      <c r="K27" s="232"/>
      <c r="L27" s="340" t="s">
        <v>138</v>
      </c>
      <c r="M27" s="232"/>
      <c r="N27" s="232"/>
    </row>
    <row r="28" spans="2:24" ht="18.75" x14ac:dyDescent="0.3">
      <c r="C28" s="346" t="s">
        <v>152</v>
      </c>
      <c r="D28" s="232"/>
      <c r="E28" s="232"/>
      <c r="F28" s="232"/>
      <c r="G28" s="232"/>
      <c r="H28" s="232"/>
      <c r="I28" s="232"/>
      <c r="J28" s="232"/>
      <c r="K28" s="232"/>
      <c r="L28" s="232"/>
      <c r="M28" s="346" t="s">
        <v>125</v>
      </c>
      <c r="N28" s="232"/>
    </row>
    <row r="29" spans="2:24" ht="18.75" x14ac:dyDescent="0.3">
      <c r="C29" s="346" t="s">
        <v>124</v>
      </c>
      <c r="D29" s="232"/>
      <c r="E29" s="232"/>
      <c r="F29" s="232"/>
      <c r="G29" s="232"/>
      <c r="H29" s="232"/>
      <c r="I29" s="232"/>
      <c r="J29" s="232"/>
      <c r="K29" s="232"/>
      <c r="L29" s="232"/>
      <c r="M29" s="232"/>
      <c r="N29" s="232"/>
    </row>
    <row r="30" spans="2:24" x14ac:dyDescent="0.25">
      <c r="C30" s="232"/>
      <c r="D30" s="232"/>
      <c r="E30" s="232"/>
      <c r="F30" s="232"/>
      <c r="G30" s="232"/>
      <c r="H30" s="232"/>
      <c r="I30" s="232"/>
      <c r="J30" s="232"/>
      <c r="K30" s="232"/>
      <c r="L30" s="232"/>
      <c r="M30" s="232"/>
      <c r="N30" s="232"/>
    </row>
    <row r="32" spans="2:24" ht="19.5" thickBot="1" x14ac:dyDescent="0.35">
      <c r="B32" s="218" t="s">
        <v>122</v>
      </c>
      <c r="C32" s="217"/>
      <c r="P32" s="232"/>
      <c r="Q32" s="232"/>
      <c r="R32" s="218" t="s">
        <v>126</v>
      </c>
      <c r="S32" s="232"/>
      <c r="X32" s="218"/>
    </row>
    <row r="33" spans="2:27" ht="18.75" x14ac:dyDescent="0.3">
      <c r="B33" s="221"/>
      <c r="C33" s="222"/>
      <c r="D33" s="187"/>
      <c r="E33" s="187"/>
      <c r="F33" s="187"/>
      <c r="G33" s="187"/>
      <c r="H33" s="187"/>
      <c r="I33" s="187"/>
      <c r="J33" s="187"/>
      <c r="K33" s="187"/>
      <c r="L33" s="223"/>
      <c r="M33" s="154"/>
      <c r="P33" s="232"/>
      <c r="Q33" s="232"/>
      <c r="R33" s="232"/>
      <c r="S33" s="232"/>
      <c r="X33" s="232"/>
    </row>
    <row r="34" spans="2:27" ht="18.75" x14ac:dyDescent="0.3">
      <c r="B34" s="188"/>
      <c r="C34" s="190"/>
      <c r="D34" s="190"/>
      <c r="E34" s="219" t="s">
        <v>55</v>
      </c>
      <c r="F34" s="220"/>
      <c r="G34" s="235"/>
      <c r="H34" s="237" t="s">
        <v>52</v>
      </c>
      <c r="I34" s="238"/>
      <c r="J34" s="239"/>
      <c r="K34" s="239"/>
      <c r="L34" s="230"/>
      <c r="M34" s="154"/>
      <c r="R34" s="204"/>
      <c r="S34" s="219" t="s">
        <v>128</v>
      </c>
      <c r="T34" s="220"/>
      <c r="U34" s="220"/>
      <c r="V34" s="220"/>
      <c r="X34" s="204"/>
      <c r="Y34" s="311" t="s">
        <v>131</v>
      </c>
      <c r="Z34" s="312"/>
      <c r="AA34" s="312"/>
    </row>
    <row r="35" spans="2:27" s="148" customFormat="1" ht="37.5" x14ac:dyDescent="0.3">
      <c r="B35" s="224"/>
      <c r="C35" s="146" t="s">
        <v>38</v>
      </c>
      <c r="D35" s="146" t="s">
        <v>39</v>
      </c>
      <c r="E35" s="347" t="s">
        <v>102</v>
      </c>
      <c r="F35" s="347" t="s">
        <v>103</v>
      </c>
      <c r="G35" s="146" t="s">
        <v>42</v>
      </c>
      <c r="H35" s="236" t="s">
        <v>49</v>
      </c>
      <c r="I35" s="240" t="s">
        <v>117</v>
      </c>
      <c r="J35" s="244" t="s">
        <v>118</v>
      </c>
      <c r="K35" s="251"/>
      <c r="L35" s="230"/>
      <c r="M35" s="154"/>
      <c r="R35" s="207" t="s">
        <v>38</v>
      </c>
      <c r="S35" s="288" t="s">
        <v>129</v>
      </c>
      <c r="T35" s="288" t="s">
        <v>35</v>
      </c>
      <c r="U35" s="288" t="s">
        <v>36</v>
      </c>
      <c r="V35" s="288" t="s">
        <v>130</v>
      </c>
      <c r="X35" s="310" t="s">
        <v>38</v>
      </c>
      <c r="Y35" s="313" t="s">
        <v>35</v>
      </c>
      <c r="Z35" s="309" t="s">
        <v>36</v>
      </c>
      <c r="AA35" s="309" t="s">
        <v>130</v>
      </c>
    </row>
    <row r="36" spans="2:27" ht="18.75" x14ac:dyDescent="0.3">
      <c r="B36" s="188"/>
      <c r="C36" s="43" t="s">
        <v>45</v>
      </c>
      <c r="D36" s="42">
        <v>1</v>
      </c>
      <c r="E36" s="63">
        <v>13</v>
      </c>
      <c r="F36" s="63">
        <f>$F$14</f>
        <v>2</v>
      </c>
      <c r="G36" s="63">
        <f>E36+F36</f>
        <v>15</v>
      </c>
      <c r="H36" s="69">
        <v>2</v>
      </c>
      <c r="I36" s="243">
        <f t="shared" ref="I36:I46" si="6">SUM(E36:F36)*H36</f>
        <v>30</v>
      </c>
      <c r="J36" s="252"/>
      <c r="K36" s="253">
        <f>I36*D36</f>
        <v>30</v>
      </c>
      <c r="L36" s="230"/>
      <c r="M36" s="154"/>
      <c r="R36" s="289" t="s">
        <v>45</v>
      </c>
      <c r="S36" s="297">
        <f t="shared" ref="S36:S46" si="7">I14</f>
        <v>30</v>
      </c>
      <c r="T36" s="290">
        <f>P14-S36</f>
        <v>-30</v>
      </c>
      <c r="U36" s="296">
        <f t="shared" ref="U36:U46" si="8">S14-S36</f>
        <v>-2</v>
      </c>
      <c r="V36" s="297">
        <f t="shared" ref="V36:V46" si="9">K36-S36</f>
        <v>0</v>
      </c>
      <c r="X36" s="208" t="s">
        <v>45</v>
      </c>
      <c r="Y36" s="315">
        <f>P14/$S36-1</f>
        <v>-1</v>
      </c>
      <c r="Z36" s="316">
        <f>S14/$S36-1</f>
        <v>-6.6666666666666652E-2</v>
      </c>
      <c r="AA36" s="317">
        <f>K36/$S36-1</f>
        <v>0</v>
      </c>
    </row>
    <row r="37" spans="2:27" ht="18.75" x14ac:dyDescent="0.3">
      <c r="B37" s="188"/>
      <c r="C37" s="43" t="s">
        <v>46</v>
      </c>
      <c r="D37" s="42">
        <v>1</v>
      </c>
      <c r="E37" s="63">
        <v>13</v>
      </c>
      <c r="F37" s="63">
        <f t="shared" ref="F37:F46" si="10">$F$14</f>
        <v>2</v>
      </c>
      <c r="G37" s="63">
        <f t="shared" ref="G37:G46" si="11">E37+F37</f>
        <v>15</v>
      </c>
      <c r="H37" s="69">
        <v>1</v>
      </c>
      <c r="I37" s="243">
        <f t="shared" si="6"/>
        <v>15</v>
      </c>
      <c r="J37" s="245"/>
      <c r="K37" s="246">
        <f t="shared" ref="K37:K46" si="12">I37*D37</f>
        <v>15</v>
      </c>
      <c r="L37" s="230"/>
      <c r="M37" s="154"/>
      <c r="R37" s="289" t="s">
        <v>46</v>
      </c>
      <c r="S37" s="297">
        <f t="shared" si="7"/>
        <v>15</v>
      </c>
      <c r="T37" s="290">
        <f t="shared" ref="T37:T46" si="13">O15-S37</f>
        <v>0</v>
      </c>
      <c r="U37" s="296">
        <f t="shared" si="8"/>
        <v>0</v>
      </c>
      <c r="V37" s="297">
        <f t="shared" si="9"/>
        <v>0</v>
      </c>
      <c r="X37" s="208" t="s">
        <v>46</v>
      </c>
      <c r="Y37" s="315">
        <f t="shared" ref="Y37:Y46" si="14">O15/$S37-1</f>
        <v>0</v>
      </c>
      <c r="Z37" s="316">
        <f t="shared" ref="Z37:Z46" si="15">S15/$S37-1</f>
        <v>0</v>
      </c>
      <c r="AA37" s="317">
        <f t="shared" ref="AA37:AA46" si="16">K37/$S37-1</f>
        <v>0</v>
      </c>
    </row>
    <row r="38" spans="2:27" ht="18.75" x14ac:dyDescent="0.3">
      <c r="B38" s="188"/>
      <c r="C38" s="57" t="s">
        <v>47</v>
      </c>
      <c r="D38" s="58">
        <v>2</v>
      </c>
      <c r="E38" s="64">
        <v>13</v>
      </c>
      <c r="F38" s="64">
        <f t="shared" si="10"/>
        <v>2</v>
      </c>
      <c r="G38" s="64">
        <f t="shared" si="11"/>
        <v>15</v>
      </c>
      <c r="H38" s="70">
        <f>1/3</f>
        <v>0.33333333333333331</v>
      </c>
      <c r="I38" s="245">
        <f t="shared" si="6"/>
        <v>5</v>
      </c>
      <c r="J38" s="245"/>
      <c r="K38" s="246">
        <f t="shared" si="12"/>
        <v>10</v>
      </c>
      <c r="L38" s="230"/>
      <c r="M38" s="154"/>
      <c r="R38" s="291" t="s">
        <v>47</v>
      </c>
      <c r="S38" s="297">
        <f t="shared" si="7"/>
        <v>15</v>
      </c>
      <c r="T38" s="290">
        <f t="shared" si="13"/>
        <v>2</v>
      </c>
      <c r="U38" s="296">
        <f t="shared" si="8"/>
        <v>5</v>
      </c>
      <c r="V38" s="297">
        <f t="shared" si="9"/>
        <v>-5</v>
      </c>
      <c r="X38" s="209" t="s">
        <v>47</v>
      </c>
      <c r="Y38" s="315">
        <f t="shared" si="14"/>
        <v>0.1333333333333333</v>
      </c>
      <c r="Z38" s="316">
        <f t="shared" si="15"/>
        <v>0.33333333333333326</v>
      </c>
      <c r="AA38" s="317">
        <f t="shared" si="16"/>
        <v>-0.33333333333333337</v>
      </c>
    </row>
    <row r="39" spans="2:27" ht="18.75" x14ac:dyDescent="0.3">
      <c r="B39" s="188"/>
      <c r="C39" s="263" t="s">
        <v>47</v>
      </c>
      <c r="D39" s="264">
        <v>3</v>
      </c>
      <c r="E39" s="265">
        <v>13</v>
      </c>
      <c r="F39" s="265">
        <f t="shared" si="10"/>
        <v>2</v>
      </c>
      <c r="G39" s="265">
        <f t="shared" si="11"/>
        <v>15</v>
      </c>
      <c r="H39" s="274">
        <f>1/3</f>
        <v>0.33333333333333331</v>
      </c>
      <c r="I39" s="267">
        <f t="shared" si="6"/>
        <v>5</v>
      </c>
      <c r="J39" s="267"/>
      <c r="K39" s="272">
        <f t="shared" si="12"/>
        <v>15</v>
      </c>
      <c r="L39" s="231"/>
      <c r="M39" s="74"/>
      <c r="R39" s="302" t="s">
        <v>47</v>
      </c>
      <c r="S39" s="305">
        <f t="shared" si="7"/>
        <v>15</v>
      </c>
      <c r="T39" s="303">
        <f t="shared" si="13"/>
        <v>4</v>
      </c>
      <c r="U39" s="304">
        <f t="shared" si="8"/>
        <v>5</v>
      </c>
      <c r="V39" s="305">
        <f t="shared" si="9"/>
        <v>0</v>
      </c>
      <c r="X39" s="314" t="s">
        <v>47</v>
      </c>
      <c r="Y39" s="318">
        <f t="shared" si="14"/>
        <v>0.26666666666666661</v>
      </c>
      <c r="Z39" s="319">
        <f t="shared" si="15"/>
        <v>0.33333333333333326</v>
      </c>
      <c r="AA39" s="320">
        <f t="shared" si="16"/>
        <v>0</v>
      </c>
    </row>
    <row r="40" spans="2:27" ht="18.75" x14ac:dyDescent="0.3">
      <c r="B40" s="188"/>
      <c r="C40" s="59" t="s">
        <v>47</v>
      </c>
      <c r="D40" s="60">
        <v>4</v>
      </c>
      <c r="E40" s="65">
        <v>13</v>
      </c>
      <c r="F40" s="65">
        <f t="shared" si="10"/>
        <v>2</v>
      </c>
      <c r="G40" s="65">
        <f t="shared" si="11"/>
        <v>15</v>
      </c>
      <c r="H40" s="71">
        <f>1/3</f>
        <v>0.33333333333333331</v>
      </c>
      <c r="I40" s="247">
        <f t="shared" si="6"/>
        <v>5</v>
      </c>
      <c r="J40" s="247"/>
      <c r="K40" s="249">
        <f t="shared" si="12"/>
        <v>20</v>
      </c>
      <c r="L40" s="231"/>
      <c r="M40" s="74"/>
      <c r="R40" s="292" t="s">
        <v>47</v>
      </c>
      <c r="S40" s="299">
        <f t="shared" si="7"/>
        <v>15</v>
      </c>
      <c r="T40" s="293">
        <f t="shared" si="13"/>
        <v>6</v>
      </c>
      <c r="U40" s="298">
        <f t="shared" si="8"/>
        <v>5</v>
      </c>
      <c r="V40" s="299">
        <f t="shared" si="9"/>
        <v>5</v>
      </c>
      <c r="X40" s="210" t="s">
        <v>47</v>
      </c>
      <c r="Y40" s="321">
        <f t="shared" si="14"/>
        <v>0.39999999999999991</v>
      </c>
      <c r="Z40" s="322">
        <f t="shared" si="15"/>
        <v>0.33333333333333326</v>
      </c>
      <c r="AA40" s="323">
        <f t="shared" si="16"/>
        <v>0.33333333333333326</v>
      </c>
    </row>
    <row r="41" spans="2:27" ht="18.75" x14ac:dyDescent="0.3">
      <c r="B41" s="188"/>
      <c r="C41" s="61" t="s">
        <v>47</v>
      </c>
      <c r="D41" s="62">
        <v>5</v>
      </c>
      <c r="E41" s="66">
        <v>13</v>
      </c>
      <c r="F41" s="66">
        <f t="shared" si="10"/>
        <v>2</v>
      </c>
      <c r="G41" s="66">
        <f t="shared" si="11"/>
        <v>15</v>
      </c>
      <c r="H41" s="72">
        <f>1/3</f>
        <v>0.33333333333333331</v>
      </c>
      <c r="I41" s="248">
        <f t="shared" si="6"/>
        <v>5</v>
      </c>
      <c r="J41" s="247"/>
      <c r="K41" s="249">
        <f t="shared" si="12"/>
        <v>25</v>
      </c>
      <c r="L41" s="231"/>
      <c r="M41" s="74"/>
      <c r="R41" s="294" t="s">
        <v>47</v>
      </c>
      <c r="S41" s="299">
        <f t="shared" si="7"/>
        <v>15</v>
      </c>
      <c r="T41" s="293">
        <f t="shared" si="13"/>
        <v>8</v>
      </c>
      <c r="U41" s="298">
        <f t="shared" si="8"/>
        <v>5</v>
      </c>
      <c r="V41" s="299">
        <f t="shared" si="9"/>
        <v>10</v>
      </c>
      <c r="X41" s="211" t="s">
        <v>47</v>
      </c>
      <c r="Y41" s="321">
        <f t="shared" si="14"/>
        <v>0.53333333333333344</v>
      </c>
      <c r="Z41" s="322">
        <f t="shared" si="15"/>
        <v>0.33333333333333326</v>
      </c>
      <c r="AA41" s="323">
        <f t="shared" si="16"/>
        <v>0.66666666666666674</v>
      </c>
    </row>
    <row r="42" spans="2:27" ht="18.75" x14ac:dyDescent="0.3">
      <c r="B42" s="273"/>
      <c r="C42" s="263" t="s">
        <v>48</v>
      </c>
      <c r="D42" s="264">
        <v>6</v>
      </c>
      <c r="E42" s="265">
        <v>13</v>
      </c>
      <c r="F42" s="265">
        <f t="shared" si="10"/>
        <v>2</v>
      </c>
      <c r="G42" s="265">
        <f t="shared" si="11"/>
        <v>15</v>
      </c>
      <c r="H42" s="274">
        <f>1/6</f>
        <v>0.16666666666666666</v>
      </c>
      <c r="I42" s="267">
        <f t="shared" si="6"/>
        <v>2.5</v>
      </c>
      <c r="J42" s="268"/>
      <c r="K42" s="270">
        <f t="shared" si="12"/>
        <v>15</v>
      </c>
      <c r="L42" s="231"/>
      <c r="M42" s="74"/>
      <c r="R42" s="302" t="s">
        <v>48</v>
      </c>
      <c r="S42" s="308">
        <f t="shared" si="7"/>
        <v>15</v>
      </c>
      <c r="T42" s="306">
        <f t="shared" si="13"/>
        <v>10</v>
      </c>
      <c r="U42" s="307">
        <f t="shared" si="8"/>
        <v>14</v>
      </c>
      <c r="V42" s="308">
        <f t="shared" si="9"/>
        <v>0</v>
      </c>
      <c r="X42" s="314" t="s">
        <v>48</v>
      </c>
      <c r="Y42" s="324">
        <f t="shared" si="14"/>
        <v>0.66666666666666674</v>
      </c>
      <c r="Z42" s="325">
        <f t="shared" si="15"/>
        <v>0.93333333333333335</v>
      </c>
      <c r="AA42" s="326">
        <f t="shared" si="16"/>
        <v>0</v>
      </c>
    </row>
    <row r="43" spans="2:27" ht="18.75" x14ac:dyDescent="0.3">
      <c r="B43" s="188"/>
      <c r="C43" s="59" t="s">
        <v>48</v>
      </c>
      <c r="D43" s="60">
        <v>7</v>
      </c>
      <c r="E43" s="65">
        <v>13</v>
      </c>
      <c r="F43" s="65">
        <f t="shared" si="10"/>
        <v>2</v>
      </c>
      <c r="G43" s="65">
        <f t="shared" si="11"/>
        <v>15</v>
      </c>
      <c r="H43" s="71">
        <f>1/6</f>
        <v>0.16666666666666666</v>
      </c>
      <c r="I43" s="247">
        <f t="shared" si="6"/>
        <v>2.5</v>
      </c>
      <c r="J43" s="247"/>
      <c r="K43" s="249">
        <f t="shared" si="12"/>
        <v>17.5</v>
      </c>
      <c r="L43" s="231"/>
      <c r="M43" s="74"/>
      <c r="R43" s="292" t="s">
        <v>48</v>
      </c>
      <c r="S43" s="299">
        <f t="shared" si="7"/>
        <v>15</v>
      </c>
      <c r="T43" s="293">
        <f t="shared" si="13"/>
        <v>12</v>
      </c>
      <c r="U43" s="298">
        <f t="shared" si="8"/>
        <v>14.000000000000004</v>
      </c>
      <c r="V43" s="299">
        <f t="shared" si="9"/>
        <v>2.5</v>
      </c>
      <c r="X43" s="210" t="s">
        <v>48</v>
      </c>
      <c r="Y43" s="321">
        <f t="shared" si="14"/>
        <v>0.8</v>
      </c>
      <c r="Z43" s="322">
        <f t="shared" si="15"/>
        <v>0.93333333333333357</v>
      </c>
      <c r="AA43" s="323">
        <f t="shared" si="16"/>
        <v>0.16666666666666674</v>
      </c>
    </row>
    <row r="44" spans="2:27" ht="18.75" x14ac:dyDescent="0.3">
      <c r="B44" s="188"/>
      <c r="C44" s="59" t="s">
        <v>48</v>
      </c>
      <c r="D44" s="60">
        <v>8</v>
      </c>
      <c r="E44" s="65">
        <v>13</v>
      </c>
      <c r="F44" s="65">
        <f t="shared" si="10"/>
        <v>2</v>
      </c>
      <c r="G44" s="65">
        <f t="shared" si="11"/>
        <v>15</v>
      </c>
      <c r="H44" s="71">
        <f>1/6</f>
        <v>0.16666666666666666</v>
      </c>
      <c r="I44" s="247">
        <f t="shared" si="6"/>
        <v>2.5</v>
      </c>
      <c r="J44" s="247"/>
      <c r="K44" s="249">
        <f t="shared" si="12"/>
        <v>20</v>
      </c>
      <c r="L44" s="231"/>
      <c r="M44" s="74"/>
      <c r="R44" s="292" t="s">
        <v>48</v>
      </c>
      <c r="S44" s="299">
        <f t="shared" si="7"/>
        <v>15</v>
      </c>
      <c r="T44" s="293">
        <f t="shared" si="13"/>
        <v>14</v>
      </c>
      <c r="U44" s="298">
        <f t="shared" si="8"/>
        <v>14</v>
      </c>
      <c r="V44" s="299">
        <f t="shared" si="9"/>
        <v>5</v>
      </c>
      <c r="X44" s="210" t="s">
        <v>48</v>
      </c>
      <c r="Y44" s="321">
        <f t="shared" si="14"/>
        <v>0.93333333333333335</v>
      </c>
      <c r="Z44" s="322">
        <f t="shared" si="15"/>
        <v>0.93333333333333335</v>
      </c>
      <c r="AA44" s="323">
        <f t="shared" si="16"/>
        <v>0.33333333333333326</v>
      </c>
    </row>
    <row r="45" spans="2:27" ht="18.75" x14ac:dyDescent="0.3">
      <c r="B45" s="188"/>
      <c r="C45" s="59" t="s">
        <v>48</v>
      </c>
      <c r="D45" s="60">
        <v>9</v>
      </c>
      <c r="E45" s="65">
        <v>13</v>
      </c>
      <c r="F45" s="65">
        <f t="shared" si="10"/>
        <v>2</v>
      </c>
      <c r="G45" s="65">
        <f t="shared" si="11"/>
        <v>15</v>
      </c>
      <c r="H45" s="71">
        <f>1/6</f>
        <v>0.16666666666666666</v>
      </c>
      <c r="I45" s="247">
        <f t="shared" si="6"/>
        <v>2.5</v>
      </c>
      <c r="J45" s="247"/>
      <c r="K45" s="249">
        <f t="shared" si="12"/>
        <v>22.5</v>
      </c>
      <c r="L45" s="231"/>
      <c r="M45" s="74"/>
      <c r="R45" s="292" t="s">
        <v>48</v>
      </c>
      <c r="S45" s="299">
        <f t="shared" si="7"/>
        <v>15</v>
      </c>
      <c r="T45" s="293">
        <f t="shared" si="13"/>
        <v>16</v>
      </c>
      <c r="U45" s="298">
        <f t="shared" si="8"/>
        <v>14</v>
      </c>
      <c r="V45" s="299">
        <f t="shared" si="9"/>
        <v>7.5</v>
      </c>
      <c r="X45" s="210" t="s">
        <v>48</v>
      </c>
      <c r="Y45" s="321">
        <f t="shared" si="14"/>
        <v>1.0666666666666669</v>
      </c>
      <c r="Z45" s="322">
        <f t="shared" si="15"/>
        <v>0.93333333333333335</v>
      </c>
      <c r="AA45" s="323">
        <f t="shared" si="16"/>
        <v>0.5</v>
      </c>
    </row>
    <row r="46" spans="2:27" ht="18.75" x14ac:dyDescent="0.3">
      <c r="B46" s="188"/>
      <c r="C46" s="61" t="s">
        <v>48</v>
      </c>
      <c r="D46" s="62">
        <v>10</v>
      </c>
      <c r="E46" s="66">
        <v>13</v>
      </c>
      <c r="F46" s="66">
        <f t="shared" si="10"/>
        <v>2</v>
      </c>
      <c r="G46" s="66">
        <f t="shared" si="11"/>
        <v>15</v>
      </c>
      <c r="H46" s="72">
        <f>1/6</f>
        <v>0.16666666666666666</v>
      </c>
      <c r="I46" s="248">
        <f t="shared" si="6"/>
        <v>2.5</v>
      </c>
      <c r="J46" s="248"/>
      <c r="K46" s="250">
        <f t="shared" si="12"/>
        <v>25</v>
      </c>
      <c r="L46" s="231"/>
      <c r="M46" s="74"/>
      <c r="R46" s="294" t="s">
        <v>48</v>
      </c>
      <c r="S46" s="301">
        <f t="shared" si="7"/>
        <v>15</v>
      </c>
      <c r="T46" s="295">
        <f t="shared" si="13"/>
        <v>18</v>
      </c>
      <c r="U46" s="300">
        <f t="shared" si="8"/>
        <v>14</v>
      </c>
      <c r="V46" s="301">
        <f t="shared" si="9"/>
        <v>10</v>
      </c>
      <c r="X46" s="211" t="s">
        <v>48</v>
      </c>
      <c r="Y46" s="327">
        <f t="shared" si="14"/>
        <v>1.2000000000000002</v>
      </c>
      <c r="Z46" s="328">
        <f t="shared" si="15"/>
        <v>0.93333333333333335</v>
      </c>
      <c r="AA46" s="329">
        <f t="shared" si="16"/>
        <v>0.66666666666666674</v>
      </c>
    </row>
    <row r="47" spans="2:27" ht="19.5" thickBot="1" x14ac:dyDescent="0.35">
      <c r="B47" s="194"/>
      <c r="C47" s="225"/>
      <c r="D47" s="226"/>
      <c r="E47" s="227"/>
      <c r="F47" s="227"/>
      <c r="G47" s="227"/>
      <c r="H47" s="228"/>
      <c r="I47" s="227"/>
      <c r="J47" s="227"/>
      <c r="K47" s="227"/>
      <c r="L47" s="229"/>
      <c r="M47" s="74"/>
      <c r="N47" s="74"/>
      <c r="O47" s="74"/>
      <c r="P47" s="232"/>
      <c r="Q47" s="233"/>
      <c r="R47" s="234"/>
      <c r="S47" s="232"/>
      <c r="X47" s="234"/>
    </row>
    <row r="48" spans="2:27" ht="18.75" x14ac:dyDescent="0.3">
      <c r="C48" s="46"/>
      <c r="D48" s="75"/>
      <c r="E48" s="74"/>
      <c r="F48" s="74"/>
      <c r="G48" s="74"/>
      <c r="H48" s="76"/>
      <c r="I48" s="74"/>
      <c r="J48" s="74"/>
      <c r="K48" s="74"/>
      <c r="L48" s="74"/>
      <c r="M48" s="74"/>
      <c r="N48" s="74"/>
      <c r="O48" s="74"/>
      <c r="Q48" s="77"/>
      <c r="X48" s="78"/>
    </row>
    <row r="49" spans="2:27" ht="18.75" x14ac:dyDescent="0.3">
      <c r="B49" s="340" t="s">
        <v>140</v>
      </c>
      <c r="G49" s="68"/>
      <c r="R49" s="340" t="s">
        <v>143</v>
      </c>
    </row>
    <row r="50" spans="2:27" ht="18.75" x14ac:dyDescent="0.3">
      <c r="B50" s="144"/>
      <c r="C50" s="144"/>
      <c r="G50" s="68"/>
    </row>
    <row r="52" spans="2:27" ht="19.5" thickBot="1" x14ac:dyDescent="0.35">
      <c r="B52" s="218" t="s">
        <v>123</v>
      </c>
      <c r="R52" s="218" t="s">
        <v>127</v>
      </c>
    </row>
    <row r="53" spans="2:27" x14ac:dyDescent="0.25">
      <c r="B53" s="185"/>
      <c r="C53" s="187"/>
      <c r="D53" s="187"/>
      <c r="E53" s="187"/>
      <c r="F53" s="187"/>
      <c r="G53" s="187"/>
      <c r="H53" s="187"/>
      <c r="I53" s="187"/>
      <c r="J53" s="187"/>
      <c r="K53" s="187"/>
      <c r="L53" s="187"/>
      <c r="M53" s="187"/>
      <c r="N53" s="187"/>
      <c r="O53" s="223"/>
    </row>
    <row r="54" spans="2:27" ht="18.75" x14ac:dyDescent="0.3">
      <c r="B54" s="188"/>
      <c r="C54" s="190"/>
      <c r="D54" s="190"/>
      <c r="E54" s="80" t="s">
        <v>55</v>
      </c>
      <c r="F54" s="81"/>
      <c r="G54" s="235"/>
      <c r="H54" s="235"/>
      <c r="I54" s="235"/>
      <c r="J54" s="237" t="s">
        <v>52</v>
      </c>
      <c r="K54" s="238"/>
      <c r="L54" s="239"/>
      <c r="M54" s="239"/>
      <c r="N54" s="239"/>
      <c r="O54" s="230"/>
      <c r="R54" s="204"/>
      <c r="S54" s="219" t="s">
        <v>128</v>
      </c>
      <c r="T54" s="220"/>
      <c r="U54" s="220"/>
      <c r="V54" s="220"/>
      <c r="X54" s="204"/>
      <c r="Y54" s="311" t="s">
        <v>131</v>
      </c>
      <c r="Z54" s="312"/>
      <c r="AA54" s="312"/>
    </row>
    <row r="55" spans="2:27" s="148" customFormat="1" ht="37.5" x14ac:dyDescent="0.3">
      <c r="B55" s="224"/>
      <c r="C55" s="146" t="s">
        <v>38</v>
      </c>
      <c r="D55" s="146" t="s">
        <v>39</v>
      </c>
      <c r="E55" s="258" t="s">
        <v>102</v>
      </c>
      <c r="F55" s="147" t="s">
        <v>141</v>
      </c>
      <c r="G55" s="147" t="s">
        <v>142</v>
      </c>
      <c r="H55" s="347" t="s">
        <v>119</v>
      </c>
      <c r="I55" s="348" t="s">
        <v>120</v>
      </c>
      <c r="J55" s="241" t="s">
        <v>49</v>
      </c>
      <c r="K55" s="259"/>
      <c r="L55" s="244" t="s">
        <v>117</v>
      </c>
      <c r="M55" s="242"/>
      <c r="N55" s="244" t="s">
        <v>118</v>
      </c>
      <c r="O55" s="278"/>
      <c r="Q55" s="1"/>
      <c r="R55" s="207" t="s">
        <v>38</v>
      </c>
      <c r="S55" s="288" t="s">
        <v>129</v>
      </c>
      <c r="T55" s="288" t="s">
        <v>35</v>
      </c>
      <c r="U55" s="288" t="s">
        <v>36</v>
      </c>
      <c r="V55" s="288" t="s">
        <v>130</v>
      </c>
      <c r="W55" s="1"/>
      <c r="X55" s="310" t="s">
        <v>38</v>
      </c>
      <c r="Y55" s="313" t="s">
        <v>35</v>
      </c>
      <c r="Z55" s="309" t="s">
        <v>36</v>
      </c>
      <c r="AA55" s="309" t="s">
        <v>130</v>
      </c>
    </row>
    <row r="56" spans="2:27" ht="18.75" x14ac:dyDescent="0.3">
      <c r="B56" s="188"/>
      <c r="C56" s="43" t="s">
        <v>45</v>
      </c>
      <c r="D56" s="42">
        <v>1</v>
      </c>
      <c r="E56" s="63">
        <v>13</v>
      </c>
      <c r="F56" s="254">
        <f t="shared" ref="F56:F66" si="17">F14</f>
        <v>2</v>
      </c>
      <c r="G56" s="63">
        <f>F56</f>
        <v>2</v>
      </c>
      <c r="H56" s="63">
        <f>$E56+F56</f>
        <v>15</v>
      </c>
      <c r="I56" s="243">
        <f t="shared" ref="I56:I66" si="18">$E56+G56</f>
        <v>15</v>
      </c>
      <c r="J56" s="245"/>
      <c r="K56" s="260">
        <f>H36</f>
        <v>2</v>
      </c>
      <c r="L56" s="252" t="s">
        <v>121</v>
      </c>
      <c r="M56" s="253">
        <f>I56*K56</f>
        <v>30</v>
      </c>
      <c r="N56" s="253">
        <f>M56*D56</f>
        <v>30</v>
      </c>
      <c r="O56" s="230"/>
      <c r="R56" s="289" t="s">
        <v>45</v>
      </c>
      <c r="S56" s="297">
        <f>H14</f>
        <v>28</v>
      </c>
      <c r="T56" s="290">
        <f>P14-$S56</f>
        <v>-28</v>
      </c>
      <c r="U56" s="296">
        <f>S14-$S56</f>
        <v>0</v>
      </c>
      <c r="V56" s="297">
        <f>N56-S56</f>
        <v>2</v>
      </c>
      <c r="X56" s="208" t="s">
        <v>45</v>
      </c>
      <c r="Y56" s="315">
        <f>P14/$S56-1</f>
        <v>-1</v>
      </c>
      <c r="Z56" s="316">
        <f>S14/$S56-1</f>
        <v>0</v>
      </c>
      <c r="AA56" s="317">
        <f>N56/$S56-1</f>
        <v>7.1428571428571397E-2</v>
      </c>
    </row>
    <row r="57" spans="2:27" ht="18.75" x14ac:dyDescent="0.3">
      <c r="B57" s="188"/>
      <c r="C57" s="43" t="s">
        <v>46</v>
      </c>
      <c r="D57" s="42">
        <v>1</v>
      </c>
      <c r="E57" s="63">
        <v>13</v>
      </c>
      <c r="F57" s="254">
        <f t="shared" si="17"/>
        <v>2</v>
      </c>
      <c r="G57" s="63">
        <f>F57</f>
        <v>2</v>
      </c>
      <c r="H57" s="63">
        <f t="shared" ref="H57:H66" si="19">$E57+F57</f>
        <v>15</v>
      </c>
      <c r="I57" s="243">
        <f t="shared" si="18"/>
        <v>15</v>
      </c>
      <c r="J57" s="245"/>
      <c r="K57" s="261">
        <f t="shared" ref="K57:K66" si="20">H37</f>
        <v>1</v>
      </c>
      <c r="L57" s="245"/>
      <c r="M57" s="246">
        <f t="shared" ref="M57:M66" si="21">I57*K57</f>
        <v>15</v>
      </c>
      <c r="N57" s="246">
        <f t="shared" ref="N57:N66" si="22">M57*D57</f>
        <v>15</v>
      </c>
      <c r="O57" s="230"/>
      <c r="R57" s="289" t="s">
        <v>46</v>
      </c>
      <c r="S57" s="297">
        <f t="shared" ref="S57:S66" si="23">H15</f>
        <v>15</v>
      </c>
      <c r="T57" s="290">
        <f t="shared" ref="T57:T66" si="24">O15-$S57</f>
        <v>0</v>
      </c>
      <c r="U57" s="296">
        <f t="shared" ref="U57:U66" si="25">S15-$S57</f>
        <v>0</v>
      </c>
      <c r="V57" s="297">
        <f t="shared" ref="V57:V66" si="26">N57-S57</f>
        <v>0</v>
      </c>
      <c r="X57" s="208" t="s">
        <v>46</v>
      </c>
      <c r="Y57" s="315">
        <f t="shared" ref="Y57:Y66" si="27">O15/$S57-1</f>
        <v>0</v>
      </c>
      <c r="Z57" s="316">
        <f t="shared" ref="Z57:Z66" si="28">S15/$S57-1</f>
        <v>0</v>
      </c>
      <c r="AA57" s="317">
        <f t="shared" ref="AA57:AA66" si="29">N57/$S57-1</f>
        <v>0</v>
      </c>
    </row>
    <row r="58" spans="2:27" ht="18.75" x14ac:dyDescent="0.3">
      <c r="B58" s="188"/>
      <c r="C58" s="57" t="s">
        <v>47</v>
      </c>
      <c r="D58" s="58">
        <v>2</v>
      </c>
      <c r="E58" s="64">
        <v>13</v>
      </c>
      <c r="F58" s="255">
        <f t="shared" si="17"/>
        <v>4</v>
      </c>
      <c r="G58" s="64">
        <f>AVERAGE($F$58:$F$61)</f>
        <v>7</v>
      </c>
      <c r="H58" s="64">
        <f t="shared" si="19"/>
        <v>17</v>
      </c>
      <c r="I58" s="245">
        <f t="shared" si="18"/>
        <v>20</v>
      </c>
      <c r="J58" s="245"/>
      <c r="K58" s="261">
        <f t="shared" si="20"/>
        <v>0.33333333333333331</v>
      </c>
      <c r="L58" s="245"/>
      <c r="M58" s="246">
        <f t="shared" si="21"/>
        <v>6.6666666666666661</v>
      </c>
      <c r="N58" s="246">
        <f t="shared" si="22"/>
        <v>13.333333333333332</v>
      </c>
      <c r="O58" s="230"/>
      <c r="R58" s="291" t="s">
        <v>47</v>
      </c>
      <c r="S58" s="297">
        <f t="shared" si="23"/>
        <v>20</v>
      </c>
      <c r="T58" s="290">
        <f t="shared" si="24"/>
        <v>-3</v>
      </c>
      <c r="U58" s="296">
        <f t="shared" si="25"/>
        <v>0</v>
      </c>
      <c r="V58" s="297">
        <f t="shared" si="26"/>
        <v>-6.6666666666666679</v>
      </c>
      <c r="X58" s="209" t="s">
        <v>47</v>
      </c>
      <c r="Y58" s="315">
        <f t="shared" si="27"/>
        <v>-0.15000000000000002</v>
      </c>
      <c r="Z58" s="316">
        <f t="shared" si="28"/>
        <v>0</v>
      </c>
      <c r="AA58" s="317">
        <f t="shared" si="29"/>
        <v>-0.33333333333333337</v>
      </c>
    </row>
    <row r="59" spans="2:27" ht="18.75" x14ac:dyDescent="0.3">
      <c r="B59" s="188"/>
      <c r="C59" s="263" t="s">
        <v>47</v>
      </c>
      <c r="D59" s="264">
        <v>3</v>
      </c>
      <c r="E59" s="265">
        <v>13</v>
      </c>
      <c r="F59" s="266">
        <f t="shared" si="17"/>
        <v>6</v>
      </c>
      <c r="G59" s="265">
        <f t="shared" ref="G59:G61" si="30">AVERAGE($F$58:$F$61)</f>
        <v>7</v>
      </c>
      <c r="H59" s="265">
        <f t="shared" si="19"/>
        <v>19</v>
      </c>
      <c r="I59" s="267">
        <f t="shared" si="18"/>
        <v>20</v>
      </c>
      <c r="J59" s="267"/>
      <c r="K59" s="271">
        <f t="shared" si="20"/>
        <v>0.33333333333333331</v>
      </c>
      <c r="L59" s="267"/>
      <c r="M59" s="272">
        <f t="shared" si="21"/>
        <v>6.6666666666666661</v>
      </c>
      <c r="N59" s="272">
        <f t="shared" si="22"/>
        <v>20</v>
      </c>
      <c r="O59" s="230"/>
      <c r="R59" s="302" t="s">
        <v>47</v>
      </c>
      <c r="S59" s="305">
        <f t="shared" si="23"/>
        <v>20</v>
      </c>
      <c r="T59" s="303">
        <f t="shared" si="24"/>
        <v>-1</v>
      </c>
      <c r="U59" s="304">
        <f t="shared" si="25"/>
        <v>0</v>
      </c>
      <c r="V59" s="305">
        <f t="shared" si="26"/>
        <v>0</v>
      </c>
      <c r="X59" s="314" t="s">
        <v>47</v>
      </c>
      <c r="Y59" s="318">
        <f t="shared" si="27"/>
        <v>-5.0000000000000044E-2</v>
      </c>
      <c r="Z59" s="319">
        <f t="shared" si="28"/>
        <v>0</v>
      </c>
      <c r="AA59" s="320">
        <f t="shared" si="29"/>
        <v>0</v>
      </c>
    </row>
    <row r="60" spans="2:27" ht="18.75" x14ac:dyDescent="0.3">
      <c r="B60" s="188"/>
      <c r="C60" s="59" t="s">
        <v>47</v>
      </c>
      <c r="D60" s="60">
        <v>4</v>
      </c>
      <c r="E60" s="65">
        <v>13</v>
      </c>
      <c r="F60" s="256">
        <f t="shared" si="17"/>
        <v>8</v>
      </c>
      <c r="G60" s="65">
        <f t="shared" si="30"/>
        <v>7</v>
      </c>
      <c r="H60" s="65">
        <f t="shared" si="19"/>
        <v>21</v>
      </c>
      <c r="I60" s="247">
        <f t="shared" si="18"/>
        <v>20</v>
      </c>
      <c r="J60" s="247"/>
      <c r="K60" s="76">
        <f t="shared" si="20"/>
        <v>0.33333333333333331</v>
      </c>
      <c r="L60" s="247"/>
      <c r="M60" s="249">
        <f t="shared" si="21"/>
        <v>6.6666666666666661</v>
      </c>
      <c r="N60" s="249">
        <f t="shared" si="22"/>
        <v>26.666666666666664</v>
      </c>
      <c r="O60" s="230"/>
      <c r="R60" s="292" t="s">
        <v>47</v>
      </c>
      <c r="S60" s="299">
        <f t="shared" si="23"/>
        <v>20</v>
      </c>
      <c r="T60" s="293">
        <f t="shared" si="24"/>
        <v>1</v>
      </c>
      <c r="U60" s="298">
        <f t="shared" si="25"/>
        <v>0</v>
      </c>
      <c r="V60" s="299">
        <f t="shared" si="26"/>
        <v>6.6666666666666643</v>
      </c>
      <c r="X60" s="210" t="s">
        <v>47</v>
      </c>
      <c r="Y60" s="321">
        <f t="shared" si="27"/>
        <v>5.0000000000000044E-2</v>
      </c>
      <c r="Z60" s="322">
        <f t="shared" si="28"/>
        <v>0</v>
      </c>
      <c r="AA60" s="323">
        <f t="shared" si="29"/>
        <v>0.33333333333333326</v>
      </c>
    </row>
    <row r="61" spans="2:27" ht="18.75" x14ac:dyDescent="0.3">
      <c r="B61" s="188"/>
      <c r="C61" s="61" t="s">
        <v>47</v>
      </c>
      <c r="D61" s="62">
        <v>5</v>
      </c>
      <c r="E61" s="66">
        <v>13</v>
      </c>
      <c r="F61" s="257">
        <f t="shared" si="17"/>
        <v>10</v>
      </c>
      <c r="G61" s="66">
        <f t="shared" si="30"/>
        <v>7</v>
      </c>
      <c r="H61" s="66">
        <f t="shared" si="19"/>
        <v>23</v>
      </c>
      <c r="I61" s="248">
        <f t="shared" si="18"/>
        <v>20</v>
      </c>
      <c r="J61" s="247"/>
      <c r="K61" s="76">
        <f t="shared" si="20"/>
        <v>0.33333333333333331</v>
      </c>
      <c r="L61" s="247"/>
      <c r="M61" s="249">
        <f t="shared" si="21"/>
        <v>6.6666666666666661</v>
      </c>
      <c r="N61" s="249">
        <f t="shared" si="22"/>
        <v>33.333333333333329</v>
      </c>
      <c r="O61" s="230"/>
      <c r="R61" s="294" t="s">
        <v>47</v>
      </c>
      <c r="S61" s="299">
        <f t="shared" si="23"/>
        <v>20</v>
      </c>
      <c r="T61" s="293">
        <f t="shared" si="24"/>
        <v>3</v>
      </c>
      <c r="U61" s="298">
        <f t="shared" si="25"/>
        <v>0</v>
      </c>
      <c r="V61" s="299">
        <f t="shared" si="26"/>
        <v>13.333333333333329</v>
      </c>
      <c r="X61" s="211" t="s">
        <v>47</v>
      </c>
      <c r="Y61" s="321">
        <f t="shared" si="27"/>
        <v>0.14999999999999991</v>
      </c>
      <c r="Z61" s="322">
        <f t="shared" si="28"/>
        <v>0</v>
      </c>
      <c r="AA61" s="323">
        <f t="shared" si="29"/>
        <v>0.66666666666666652</v>
      </c>
    </row>
    <row r="62" spans="2:27" ht="18.75" x14ac:dyDescent="0.3">
      <c r="B62" s="188"/>
      <c r="C62" s="263" t="s">
        <v>48</v>
      </c>
      <c r="D62" s="264">
        <v>6</v>
      </c>
      <c r="E62" s="265">
        <v>13</v>
      </c>
      <c r="F62" s="266">
        <f t="shared" si="17"/>
        <v>12</v>
      </c>
      <c r="G62" s="265">
        <f>AVERAGE($F$62:$F$66)</f>
        <v>16</v>
      </c>
      <c r="H62" s="265">
        <f t="shared" si="19"/>
        <v>25</v>
      </c>
      <c r="I62" s="267">
        <f t="shared" si="18"/>
        <v>29</v>
      </c>
      <c r="J62" s="268"/>
      <c r="K62" s="269">
        <f t="shared" si="20"/>
        <v>0.16666666666666666</v>
      </c>
      <c r="L62" s="268"/>
      <c r="M62" s="270">
        <f t="shared" si="21"/>
        <v>4.833333333333333</v>
      </c>
      <c r="N62" s="270">
        <f t="shared" si="22"/>
        <v>29</v>
      </c>
      <c r="O62" s="230"/>
      <c r="R62" s="302" t="s">
        <v>48</v>
      </c>
      <c r="S62" s="308">
        <f t="shared" si="23"/>
        <v>29</v>
      </c>
      <c r="T62" s="306">
        <f t="shared" si="24"/>
        <v>-4</v>
      </c>
      <c r="U62" s="307">
        <f t="shared" si="25"/>
        <v>0</v>
      </c>
      <c r="V62" s="308">
        <f t="shared" si="26"/>
        <v>0</v>
      </c>
      <c r="X62" s="314" t="s">
        <v>48</v>
      </c>
      <c r="Y62" s="324">
        <f t="shared" si="27"/>
        <v>-0.13793103448275867</v>
      </c>
      <c r="Z62" s="325">
        <f t="shared" si="28"/>
        <v>0</v>
      </c>
      <c r="AA62" s="326">
        <f t="shared" si="29"/>
        <v>0</v>
      </c>
    </row>
    <row r="63" spans="2:27" ht="18.75" x14ac:dyDescent="0.3">
      <c r="B63" s="188"/>
      <c r="C63" s="59" t="s">
        <v>48</v>
      </c>
      <c r="D63" s="60">
        <v>7</v>
      </c>
      <c r="E63" s="65">
        <v>13</v>
      </c>
      <c r="F63" s="256">
        <f t="shared" si="17"/>
        <v>14</v>
      </c>
      <c r="G63" s="65">
        <f t="shared" ref="G63:G66" si="31">AVERAGE($F$62:$F$66)</f>
        <v>16</v>
      </c>
      <c r="H63" s="65">
        <f t="shared" si="19"/>
        <v>27</v>
      </c>
      <c r="I63" s="247">
        <f t="shared" si="18"/>
        <v>29</v>
      </c>
      <c r="J63" s="247"/>
      <c r="K63" s="76">
        <f t="shared" si="20"/>
        <v>0.16666666666666666</v>
      </c>
      <c r="L63" s="247"/>
      <c r="M63" s="249">
        <f t="shared" si="21"/>
        <v>4.833333333333333</v>
      </c>
      <c r="N63" s="249">
        <f t="shared" si="22"/>
        <v>33.833333333333329</v>
      </c>
      <c r="O63" s="230"/>
      <c r="R63" s="292" t="s">
        <v>48</v>
      </c>
      <c r="S63" s="299">
        <f t="shared" si="23"/>
        <v>29</v>
      </c>
      <c r="T63" s="293">
        <f t="shared" si="24"/>
        <v>-2</v>
      </c>
      <c r="U63" s="298">
        <f t="shared" si="25"/>
        <v>0</v>
      </c>
      <c r="V63" s="299">
        <f t="shared" si="26"/>
        <v>4.8333333333333286</v>
      </c>
      <c r="X63" s="210" t="s">
        <v>48</v>
      </c>
      <c r="Y63" s="321">
        <f t="shared" si="27"/>
        <v>-6.8965517241379337E-2</v>
      </c>
      <c r="Z63" s="322">
        <f t="shared" si="28"/>
        <v>0</v>
      </c>
      <c r="AA63" s="323">
        <f t="shared" si="29"/>
        <v>0.16666666666666652</v>
      </c>
    </row>
    <row r="64" spans="2:27" ht="18.75" x14ac:dyDescent="0.3">
      <c r="B64" s="188"/>
      <c r="C64" s="59" t="s">
        <v>48</v>
      </c>
      <c r="D64" s="60">
        <v>8</v>
      </c>
      <c r="E64" s="65">
        <v>13</v>
      </c>
      <c r="F64" s="256">
        <f t="shared" si="17"/>
        <v>16</v>
      </c>
      <c r="G64" s="65">
        <f t="shared" si="31"/>
        <v>16</v>
      </c>
      <c r="H64" s="65">
        <f t="shared" si="19"/>
        <v>29</v>
      </c>
      <c r="I64" s="247">
        <f t="shared" si="18"/>
        <v>29</v>
      </c>
      <c r="J64" s="247"/>
      <c r="K64" s="76">
        <f t="shared" si="20"/>
        <v>0.16666666666666666</v>
      </c>
      <c r="L64" s="247"/>
      <c r="M64" s="249">
        <f t="shared" si="21"/>
        <v>4.833333333333333</v>
      </c>
      <c r="N64" s="249">
        <f t="shared" si="22"/>
        <v>38.666666666666664</v>
      </c>
      <c r="O64" s="230"/>
      <c r="R64" s="292" t="s">
        <v>48</v>
      </c>
      <c r="S64" s="299">
        <f t="shared" si="23"/>
        <v>29</v>
      </c>
      <c r="T64" s="293">
        <f t="shared" si="24"/>
        <v>0</v>
      </c>
      <c r="U64" s="298">
        <f t="shared" si="25"/>
        <v>0</v>
      </c>
      <c r="V64" s="299">
        <f t="shared" si="26"/>
        <v>9.6666666666666643</v>
      </c>
      <c r="X64" s="210" t="s">
        <v>48</v>
      </c>
      <c r="Y64" s="321">
        <f t="shared" si="27"/>
        <v>0</v>
      </c>
      <c r="Z64" s="322">
        <f t="shared" si="28"/>
        <v>0</v>
      </c>
      <c r="AA64" s="323">
        <f t="shared" si="29"/>
        <v>0.33333333333333326</v>
      </c>
    </row>
    <row r="65" spans="2:27" ht="18.75" x14ac:dyDescent="0.3">
      <c r="B65" s="188"/>
      <c r="C65" s="59" t="s">
        <v>48</v>
      </c>
      <c r="D65" s="60">
        <v>9</v>
      </c>
      <c r="E65" s="65">
        <v>13</v>
      </c>
      <c r="F65" s="256">
        <f t="shared" si="17"/>
        <v>18</v>
      </c>
      <c r="G65" s="65">
        <f t="shared" si="31"/>
        <v>16</v>
      </c>
      <c r="H65" s="65">
        <f t="shared" si="19"/>
        <v>31</v>
      </c>
      <c r="I65" s="247">
        <f t="shared" si="18"/>
        <v>29</v>
      </c>
      <c r="J65" s="247"/>
      <c r="K65" s="76">
        <f t="shared" si="20"/>
        <v>0.16666666666666666</v>
      </c>
      <c r="L65" s="247"/>
      <c r="M65" s="249">
        <f t="shared" si="21"/>
        <v>4.833333333333333</v>
      </c>
      <c r="N65" s="249">
        <f t="shared" si="22"/>
        <v>43.5</v>
      </c>
      <c r="O65" s="230"/>
      <c r="R65" s="292" t="s">
        <v>48</v>
      </c>
      <c r="S65" s="299">
        <f t="shared" si="23"/>
        <v>29</v>
      </c>
      <c r="T65" s="293">
        <f t="shared" si="24"/>
        <v>2</v>
      </c>
      <c r="U65" s="298">
        <f t="shared" si="25"/>
        <v>0</v>
      </c>
      <c r="V65" s="299">
        <f t="shared" si="26"/>
        <v>14.5</v>
      </c>
      <c r="X65" s="210" t="s">
        <v>48</v>
      </c>
      <c r="Y65" s="321">
        <f t="shared" si="27"/>
        <v>6.8965517241379226E-2</v>
      </c>
      <c r="Z65" s="322">
        <f t="shared" si="28"/>
        <v>0</v>
      </c>
      <c r="AA65" s="323">
        <f t="shared" si="29"/>
        <v>0.5</v>
      </c>
    </row>
    <row r="66" spans="2:27" ht="18.75" x14ac:dyDescent="0.3">
      <c r="B66" s="188"/>
      <c r="C66" s="61" t="s">
        <v>48</v>
      </c>
      <c r="D66" s="62">
        <v>10</v>
      </c>
      <c r="E66" s="66">
        <v>13</v>
      </c>
      <c r="F66" s="257">
        <f t="shared" si="17"/>
        <v>20</v>
      </c>
      <c r="G66" s="66">
        <f t="shared" si="31"/>
        <v>16</v>
      </c>
      <c r="H66" s="66">
        <f t="shared" si="19"/>
        <v>33</v>
      </c>
      <c r="I66" s="248">
        <f t="shared" si="18"/>
        <v>29</v>
      </c>
      <c r="J66" s="248"/>
      <c r="K66" s="262">
        <f t="shared" si="20"/>
        <v>0.16666666666666666</v>
      </c>
      <c r="L66" s="248"/>
      <c r="M66" s="250">
        <f t="shared" si="21"/>
        <v>4.833333333333333</v>
      </c>
      <c r="N66" s="250">
        <f t="shared" si="22"/>
        <v>48.333333333333329</v>
      </c>
      <c r="O66" s="230"/>
      <c r="R66" s="294" t="s">
        <v>48</v>
      </c>
      <c r="S66" s="301">
        <f t="shared" si="23"/>
        <v>29</v>
      </c>
      <c r="T66" s="295">
        <f t="shared" si="24"/>
        <v>4</v>
      </c>
      <c r="U66" s="300">
        <f t="shared" si="25"/>
        <v>0</v>
      </c>
      <c r="V66" s="301">
        <f t="shared" si="26"/>
        <v>19.333333333333329</v>
      </c>
      <c r="X66" s="211" t="s">
        <v>48</v>
      </c>
      <c r="Y66" s="327">
        <f t="shared" si="27"/>
        <v>0.13793103448275867</v>
      </c>
      <c r="Z66" s="328">
        <f t="shared" si="28"/>
        <v>0</v>
      </c>
      <c r="AA66" s="329">
        <f t="shared" si="29"/>
        <v>0.66666666666666652</v>
      </c>
    </row>
    <row r="67" spans="2:27" ht="15.75" thickBot="1" x14ac:dyDescent="0.3">
      <c r="B67" s="194"/>
      <c r="C67" s="276"/>
      <c r="D67" s="276"/>
      <c r="E67" s="276"/>
      <c r="F67" s="276"/>
      <c r="G67" s="276"/>
      <c r="H67" s="276"/>
      <c r="I67" s="276"/>
      <c r="J67" s="276"/>
      <c r="K67" s="276"/>
      <c r="L67" s="276"/>
      <c r="M67" s="276"/>
      <c r="N67" s="276"/>
      <c r="O67" s="277"/>
    </row>
    <row r="68" spans="2:27" ht="18.75" x14ac:dyDescent="0.3">
      <c r="C68" s="39"/>
    </row>
    <row r="69" spans="2:27" ht="18.75" x14ac:dyDescent="0.3">
      <c r="B69" s="340" t="s">
        <v>145</v>
      </c>
      <c r="C69" s="79"/>
      <c r="R69" s="340" t="s">
        <v>144</v>
      </c>
    </row>
    <row r="70" spans="2:27" ht="18.75" x14ac:dyDescent="0.3">
      <c r="C70" s="3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D18C7-A235-40D8-B4C5-18A30DB8D643}">
  <sheetPr>
    <tabColor theme="4" tint="0.79998168889431442"/>
  </sheetPr>
  <dimension ref="A2:AV77"/>
  <sheetViews>
    <sheetView zoomScaleNormal="100" workbookViewId="0"/>
  </sheetViews>
  <sheetFormatPr defaultColWidth="9.140625" defaultRowHeight="18.75" x14ac:dyDescent="0.3"/>
  <cols>
    <col min="1" max="2" width="3.7109375" style="1" customWidth="1"/>
    <col min="3" max="3" width="59" style="1" bestFit="1" customWidth="1"/>
    <col min="4" max="5" width="22.7109375" style="1" customWidth="1"/>
    <col min="6" max="8" width="3.7109375" style="1" customWidth="1"/>
    <col min="9" max="9" width="65.7109375" style="1" customWidth="1"/>
    <col min="10" max="12" width="15.7109375" style="1" customWidth="1"/>
    <col min="13" max="14" width="21.28515625" style="1" bestFit="1" customWidth="1"/>
    <col min="15" max="15" width="75.7109375" style="1" customWidth="1"/>
    <col min="16" max="17" width="3.7109375" style="1" customWidth="1"/>
    <col min="18" max="23" width="13.140625" style="424" customWidth="1"/>
    <col min="24" max="24" width="3.7109375" style="1" customWidth="1"/>
    <col min="25" max="25" width="10.7109375" style="453" customWidth="1"/>
    <col min="26" max="26" width="10.7109375" style="1" customWidth="1"/>
    <col min="27" max="27" width="54.5703125" style="39" customWidth="1"/>
    <col min="28" max="30" width="15" style="39" customWidth="1"/>
    <col min="31" max="32" width="20.140625" style="39" customWidth="1"/>
    <col min="33" max="33" width="10.7109375" style="1" customWidth="1"/>
    <col min="34" max="34" width="10.7109375" style="453" customWidth="1"/>
    <col min="35" max="35" width="10.7109375" style="1" customWidth="1"/>
    <col min="36" max="36" width="65.7109375" style="1" customWidth="1"/>
    <col min="37" max="39" width="15" style="1" customWidth="1"/>
    <col min="40" max="41" width="20.140625" style="1" customWidth="1"/>
    <col min="42" max="42" width="3.7109375" style="1" customWidth="1"/>
    <col min="43" max="48" width="13.140625" style="424" customWidth="1"/>
    <col min="49" max="16384" width="9.140625" style="1"/>
  </cols>
  <sheetData>
    <row r="2" spans="2:48" x14ac:dyDescent="0.3">
      <c r="B2" s="184" t="s">
        <v>155</v>
      </c>
      <c r="E2" s="99"/>
      <c r="F2" s="99"/>
    </row>
    <row r="3" spans="2:48" x14ac:dyDescent="0.3">
      <c r="B3" s="184"/>
      <c r="E3" s="99"/>
      <c r="F3" s="99"/>
    </row>
    <row r="4" spans="2:48" x14ac:dyDescent="0.3">
      <c r="B4" s="339" t="s">
        <v>186</v>
      </c>
      <c r="C4" s="340"/>
      <c r="E4" s="99"/>
      <c r="F4" s="99"/>
    </row>
    <row r="5" spans="2:48" x14ac:dyDescent="0.3">
      <c r="B5" s="339"/>
      <c r="C5" s="340" t="s">
        <v>187</v>
      </c>
      <c r="E5" s="99"/>
      <c r="F5" s="99"/>
    </row>
    <row r="6" spans="2:48" x14ac:dyDescent="0.3">
      <c r="B6" s="339"/>
      <c r="C6" s="340" t="s">
        <v>188</v>
      </c>
      <c r="E6" s="99"/>
      <c r="F6" s="99"/>
    </row>
    <row r="7" spans="2:48" ht="19.5" thickBot="1" x14ac:dyDescent="0.35"/>
    <row r="8" spans="2:48" ht="19.5" thickBot="1" x14ac:dyDescent="0.35">
      <c r="B8" s="82" t="s">
        <v>56</v>
      </c>
      <c r="E8" s="99"/>
      <c r="F8" s="99"/>
      <c r="H8" s="475" t="s">
        <v>165</v>
      </c>
      <c r="I8" s="475"/>
      <c r="J8" s="476"/>
      <c r="K8" s="476"/>
      <c r="L8" s="476"/>
      <c r="M8" s="476"/>
      <c r="N8" s="476"/>
      <c r="O8" s="476"/>
      <c r="P8" s="477"/>
    </row>
    <row r="9" spans="2:48" ht="18.75" customHeight="1" thickBot="1" x14ac:dyDescent="0.35">
      <c r="B9" s="82" t="s">
        <v>81</v>
      </c>
      <c r="E9" s="83"/>
      <c r="F9" s="83"/>
      <c r="AA9" s="471" t="s">
        <v>182</v>
      </c>
      <c r="AB9" s="472"/>
      <c r="AC9" s="472"/>
      <c r="AD9" s="473"/>
      <c r="AE9" s="473"/>
      <c r="AF9" s="474"/>
      <c r="AJ9" s="481" t="s">
        <v>178</v>
      </c>
      <c r="AK9" s="482"/>
      <c r="AL9" s="482"/>
      <c r="AM9" s="482"/>
      <c r="AN9" s="482"/>
      <c r="AO9" s="483"/>
    </row>
    <row r="10" spans="2:48" x14ac:dyDescent="0.3">
      <c r="B10" s="330"/>
      <c r="C10" s="331"/>
      <c r="D10" s="331"/>
      <c r="E10" s="331"/>
      <c r="F10" s="332"/>
      <c r="G10" s="83"/>
      <c r="H10" s="463"/>
      <c r="I10" s="464" t="s">
        <v>194</v>
      </c>
      <c r="J10" s="187"/>
      <c r="K10" s="186"/>
      <c r="L10" s="186"/>
      <c r="M10" s="186"/>
      <c r="N10" s="186"/>
      <c r="O10" s="186"/>
      <c r="P10" s="191"/>
      <c r="Q10" s="83"/>
      <c r="AA10" s="411"/>
      <c r="AB10" s="412"/>
      <c r="AC10" s="412"/>
      <c r="AD10" s="114"/>
      <c r="AE10" s="114"/>
      <c r="AF10" s="114"/>
      <c r="AJ10" s="411"/>
      <c r="AK10" s="114"/>
      <c r="AL10" s="114"/>
      <c r="AM10" s="114"/>
      <c r="AN10" s="114"/>
      <c r="AO10" s="114"/>
      <c r="AP10" s="83"/>
    </row>
    <row r="11" spans="2:48" x14ac:dyDescent="0.3">
      <c r="B11" s="333"/>
      <c r="C11" s="100" t="s">
        <v>57</v>
      </c>
      <c r="D11" s="85" t="s">
        <v>58</v>
      </c>
      <c r="E11" s="85" t="s">
        <v>59</v>
      </c>
      <c r="F11" s="337"/>
      <c r="H11" s="188"/>
      <c r="I11" s="85" t="s">
        <v>66</v>
      </c>
      <c r="J11" s="85" t="s">
        <v>6</v>
      </c>
      <c r="K11" s="85" t="s">
        <v>67</v>
      </c>
      <c r="L11" s="363" t="s">
        <v>68</v>
      </c>
      <c r="M11" s="432" t="s">
        <v>69</v>
      </c>
      <c r="N11" s="85" t="s">
        <v>70</v>
      </c>
      <c r="O11" s="85" t="s">
        <v>71</v>
      </c>
      <c r="P11" s="465"/>
      <c r="Q11" s="83"/>
      <c r="R11" s="428" t="s">
        <v>196</v>
      </c>
      <c r="S11" s="428"/>
      <c r="T11" s="428"/>
      <c r="U11" s="428"/>
      <c r="V11" s="428"/>
      <c r="W11" s="429"/>
      <c r="X11" s="418" t="s">
        <v>121</v>
      </c>
      <c r="Y11" s="456"/>
      <c r="AA11" s="207" t="s">
        <v>66</v>
      </c>
      <c r="AB11" s="207" t="s">
        <v>6</v>
      </c>
      <c r="AC11" s="207" t="s">
        <v>67</v>
      </c>
      <c r="AD11" s="416" t="s">
        <v>68</v>
      </c>
      <c r="AE11" s="207" t="s">
        <v>69</v>
      </c>
      <c r="AF11" s="207" t="s">
        <v>70</v>
      </c>
      <c r="AI11" s="418"/>
      <c r="AJ11" s="414" t="s">
        <v>66</v>
      </c>
      <c r="AK11" s="414" t="s">
        <v>6</v>
      </c>
      <c r="AL11" s="414" t="s">
        <v>67</v>
      </c>
      <c r="AM11" s="415" t="s">
        <v>68</v>
      </c>
      <c r="AN11" s="414" t="s">
        <v>69</v>
      </c>
      <c r="AO11" s="414" t="s">
        <v>70</v>
      </c>
      <c r="AP11" s="83"/>
      <c r="AQ11" s="428" t="s">
        <v>167</v>
      </c>
      <c r="AR11" s="428"/>
      <c r="AS11" s="428"/>
      <c r="AT11" s="428"/>
      <c r="AU11" s="428"/>
      <c r="AV11" s="429"/>
    </row>
    <row r="12" spans="2:48" x14ac:dyDescent="0.3">
      <c r="B12" s="333"/>
      <c r="C12" s="101" t="s">
        <v>60</v>
      </c>
      <c r="D12" s="102">
        <v>0.3</v>
      </c>
      <c r="E12" s="102">
        <v>0.11</v>
      </c>
      <c r="F12" s="337"/>
      <c r="H12" s="188"/>
      <c r="I12" s="459" t="s">
        <v>72</v>
      </c>
      <c r="J12" s="109">
        <v>100</v>
      </c>
      <c r="K12" s="109">
        <v>25</v>
      </c>
      <c r="L12" s="433">
        <v>25</v>
      </c>
      <c r="M12" s="360">
        <v>25</v>
      </c>
      <c r="N12" s="109">
        <v>25</v>
      </c>
      <c r="O12" s="110" t="s">
        <v>73</v>
      </c>
      <c r="P12" s="466"/>
      <c r="Q12" s="83"/>
      <c r="R12" s="431" t="s">
        <v>158</v>
      </c>
      <c r="S12" s="431" t="s">
        <v>159</v>
      </c>
      <c r="T12" s="430" t="s">
        <v>163</v>
      </c>
      <c r="U12" s="430"/>
      <c r="V12" s="430" t="s">
        <v>164</v>
      </c>
      <c r="W12" s="430"/>
      <c r="AA12" s="486" t="s">
        <v>72</v>
      </c>
      <c r="AB12" s="117">
        <v>100</v>
      </c>
      <c r="AC12" s="387">
        <v>7.1633237822349566E-2</v>
      </c>
      <c r="AD12" s="385">
        <v>7.1752626552053487</v>
      </c>
      <c r="AE12" s="386">
        <v>32.463586437440306</v>
      </c>
      <c r="AF12" s="439">
        <v>60.289517669532003</v>
      </c>
      <c r="AJ12" s="486" t="s">
        <v>72</v>
      </c>
      <c r="AK12" s="117">
        <v>100</v>
      </c>
      <c r="AL12" s="439">
        <v>7.1633237822349566E-2</v>
      </c>
      <c r="AM12" s="385">
        <v>7.1752626552053487</v>
      </c>
      <c r="AN12" s="386">
        <v>32.463586437440306</v>
      </c>
      <c r="AO12" s="387">
        <v>60.289517669532003</v>
      </c>
      <c r="AP12" s="83"/>
      <c r="AQ12" s="431" t="s">
        <v>158</v>
      </c>
      <c r="AR12" s="431" t="s">
        <v>159</v>
      </c>
      <c r="AS12" s="430" t="s">
        <v>163</v>
      </c>
      <c r="AT12" s="430"/>
      <c r="AU12" s="430" t="s">
        <v>164</v>
      </c>
      <c r="AV12" s="430"/>
    </row>
    <row r="13" spans="2:48" x14ac:dyDescent="0.3">
      <c r="B13" s="333"/>
      <c r="C13" s="103" t="s">
        <v>61</v>
      </c>
      <c r="D13" s="104">
        <v>0.3</v>
      </c>
      <c r="E13" s="104">
        <v>0.22</v>
      </c>
      <c r="F13" s="337"/>
      <c r="H13" s="188"/>
      <c r="I13" s="460" t="s">
        <v>189</v>
      </c>
      <c r="J13" s="109">
        <v>60000</v>
      </c>
      <c r="K13" s="109">
        <f>$J13*(K$22/$J$22)</f>
        <v>34285.714285714283</v>
      </c>
      <c r="L13" s="109">
        <f>$J13*(L$22/$J$22)</f>
        <v>17142.857142857141</v>
      </c>
      <c r="M13" s="138">
        <f>$J13*(M$22/$J$22)</f>
        <v>5714.2857142857147</v>
      </c>
      <c r="N13" s="358">
        <f>$J13*(N$22/$J$22)</f>
        <v>2857.1428571428573</v>
      </c>
      <c r="O13" s="109" t="s">
        <v>75</v>
      </c>
      <c r="P13" s="467"/>
      <c r="Q13" s="83"/>
      <c r="R13" s="425">
        <f>K17</f>
        <v>3428.5714285714284</v>
      </c>
      <c r="S13" s="435">
        <f>L17</f>
        <v>1714.2857142857142</v>
      </c>
      <c r="T13" s="420">
        <v>2</v>
      </c>
      <c r="U13" s="422">
        <f>M$17*$T13</f>
        <v>1142.8571428571429</v>
      </c>
      <c r="V13" s="436">
        <v>6</v>
      </c>
      <c r="W13" s="437">
        <f>N$17*$V13</f>
        <v>1714.2857142857142</v>
      </c>
      <c r="AA13" s="487" t="s">
        <v>189</v>
      </c>
      <c r="AB13" s="117">
        <f>J13</f>
        <v>60000</v>
      </c>
      <c r="AC13" s="117">
        <f>$AB13*(AC$22/$AB$22)</f>
        <v>304.95229826028947</v>
      </c>
      <c r="AD13" s="370">
        <f t="shared" ref="AD13:AF13" si="0">$AB13*(AD$22/$AB$22)</f>
        <v>15273.027604536164</v>
      </c>
      <c r="AE13" s="139">
        <f t="shared" si="0"/>
        <v>23033.640050401838</v>
      </c>
      <c r="AF13" s="117">
        <f t="shared" si="0"/>
        <v>21388.380046801707</v>
      </c>
      <c r="AJ13" s="487" t="s">
        <v>189</v>
      </c>
      <c r="AK13" s="406">
        <f>J13*(AK22/J22)</f>
        <v>19328.898894801474</v>
      </c>
      <c r="AL13" s="117">
        <f>$AK13*(AL$22/$AK$22)</f>
        <v>98.239869013507985</v>
      </c>
      <c r="AM13" s="370">
        <f>$AK13*(AM$22/$AK$22)</f>
        <v>4920.1801064265246</v>
      </c>
      <c r="AN13" s="139">
        <f>$AK13*(AN$22/$AK$22)</f>
        <v>7420.2483285577837</v>
      </c>
      <c r="AO13" s="117">
        <f>$AK13*(AO$22/$AK$22)</f>
        <v>6890.2305908036569</v>
      </c>
      <c r="AP13" s="83"/>
      <c r="AQ13" s="425">
        <f>AL17</f>
        <v>3428.5714285714289</v>
      </c>
      <c r="AR13" s="435">
        <f>AM17</f>
        <v>1714.2857142857142</v>
      </c>
      <c r="AS13" s="420">
        <v>2</v>
      </c>
      <c r="AT13" s="422">
        <f>M$17*$AS13</f>
        <v>1142.8571428571429</v>
      </c>
      <c r="AU13" s="436">
        <v>6</v>
      </c>
      <c r="AV13" s="437">
        <f>N$17*$AU13</f>
        <v>1714.2857142857142</v>
      </c>
    </row>
    <row r="14" spans="2:48" x14ac:dyDescent="0.3">
      <c r="B14" s="333"/>
      <c r="C14" s="105" t="s">
        <v>62</v>
      </c>
      <c r="D14" s="106">
        <v>0.3</v>
      </c>
      <c r="E14" s="106">
        <v>0.66</v>
      </c>
      <c r="F14" s="337"/>
      <c r="H14" s="188"/>
      <c r="I14" s="460" t="s">
        <v>190</v>
      </c>
      <c r="J14" s="109">
        <v>15000</v>
      </c>
      <c r="K14" s="109">
        <f>K13*$J15</f>
        <v>8571.4285714285706</v>
      </c>
      <c r="L14" s="109">
        <f>L13*$J15</f>
        <v>4285.7142857142853</v>
      </c>
      <c r="M14" s="138">
        <f>M13*$J15</f>
        <v>1428.5714285714287</v>
      </c>
      <c r="N14" s="358">
        <f>N13*$J15</f>
        <v>714.28571428571433</v>
      </c>
      <c r="O14" s="109" t="s">
        <v>75</v>
      </c>
      <c r="P14" s="467"/>
      <c r="Q14" s="83"/>
      <c r="R14" s="205"/>
      <c r="S14" s="205"/>
      <c r="T14" s="438">
        <v>3</v>
      </c>
      <c r="U14" s="434">
        <f>M$17*$T14</f>
        <v>1714.2857142857142</v>
      </c>
      <c r="V14" s="427">
        <v>7</v>
      </c>
      <c r="W14" s="423">
        <f>N$17*$V14</f>
        <v>2000</v>
      </c>
      <c r="AA14" s="487" t="s">
        <v>190</v>
      </c>
      <c r="AB14" s="117">
        <f>SUM(AC14:AF14)</f>
        <v>46562.404040617956</v>
      </c>
      <c r="AC14" s="117">
        <f>AC13*AC15</f>
        <v>33.354157622219162</v>
      </c>
      <c r="AD14" s="370">
        <f t="shared" ref="AD14:AF14" si="1">AD13*AD15</f>
        <v>3340.9747884922863</v>
      </c>
      <c r="AE14" s="139">
        <f t="shared" si="1"/>
        <v>15115.826283076207</v>
      </c>
      <c r="AF14" s="117">
        <f t="shared" si="1"/>
        <v>28072.248811427242</v>
      </c>
      <c r="AJ14" s="487" t="s">
        <v>190</v>
      </c>
      <c r="AK14" s="117">
        <f>AK13*0.25</f>
        <v>4832.2247237003685</v>
      </c>
      <c r="AL14" s="117">
        <f>AL13*$AK15</f>
        <v>24.559967253376996</v>
      </c>
      <c r="AM14" s="370">
        <f>AM13*$AK15</f>
        <v>1230.0450266066312</v>
      </c>
      <c r="AN14" s="139">
        <f>AN13*$AK15</f>
        <v>1855.0620821394459</v>
      </c>
      <c r="AO14" s="117">
        <f>AO13*$AK15</f>
        <v>1722.5576477009142</v>
      </c>
      <c r="AP14" s="83"/>
      <c r="AQ14" s="205"/>
      <c r="AR14" s="205"/>
      <c r="AS14" s="438">
        <v>3</v>
      </c>
      <c r="AT14" s="434">
        <f>M$17*$AS14</f>
        <v>1714.2857142857142</v>
      </c>
      <c r="AU14" s="427">
        <v>7</v>
      </c>
      <c r="AV14" s="423">
        <f>N$17*$AU14</f>
        <v>2000</v>
      </c>
    </row>
    <row r="15" spans="2:48" x14ac:dyDescent="0.3">
      <c r="B15" s="333"/>
      <c r="C15" s="103" t="s">
        <v>63</v>
      </c>
      <c r="D15" s="104">
        <v>0.3</v>
      </c>
      <c r="E15" s="104">
        <v>0.11</v>
      </c>
      <c r="F15" s="337"/>
      <c r="H15" s="188"/>
      <c r="I15" s="461" t="s">
        <v>192</v>
      </c>
      <c r="J15" s="112">
        <f>J14/J13</f>
        <v>0.25</v>
      </c>
      <c r="K15" s="112">
        <f>K14/K13</f>
        <v>0.25</v>
      </c>
      <c r="L15" s="112">
        <f>L14/L13</f>
        <v>0.25</v>
      </c>
      <c r="M15" s="382">
        <f>M14/M13</f>
        <v>0.25</v>
      </c>
      <c r="N15" s="359">
        <f>N14/N13</f>
        <v>0.25</v>
      </c>
      <c r="O15" s="109"/>
      <c r="P15" s="467"/>
      <c r="Q15" s="83"/>
      <c r="R15" s="205"/>
      <c r="S15" s="205"/>
      <c r="T15" s="420">
        <v>4</v>
      </c>
      <c r="U15" s="421">
        <f>M$17*$T15</f>
        <v>2285.7142857142858</v>
      </c>
      <c r="V15" s="426">
        <v>8</v>
      </c>
      <c r="W15" s="422">
        <f>N$17*$V15</f>
        <v>2285.7142857142858</v>
      </c>
      <c r="AA15" s="488" t="s">
        <v>218</v>
      </c>
      <c r="AB15" s="402">
        <f>AB14/AB13</f>
        <v>0.77604006734363262</v>
      </c>
      <c r="AC15" s="440">
        <f>K38</f>
        <v>0.10937500000000001</v>
      </c>
      <c r="AD15" s="440">
        <f>L38</f>
        <v>0.21875000000000003</v>
      </c>
      <c r="AE15" s="440">
        <f>M38</f>
        <v>0.65625</v>
      </c>
      <c r="AF15" s="440">
        <f>N38</f>
        <v>1.3125</v>
      </c>
      <c r="AJ15" s="488" t="s">
        <v>218</v>
      </c>
      <c r="AK15" s="407">
        <f>AK14/AK13</f>
        <v>0.25</v>
      </c>
      <c r="AL15" s="407">
        <f>AL14/AL13</f>
        <v>0.25</v>
      </c>
      <c r="AM15" s="408">
        <f>AM14/AM13</f>
        <v>0.25</v>
      </c>
      <c r="AN15" s="409">
        <f>AN14/AN13</f>
        <v>0.25</v>
      </c>
      <c r="AO15" s="407">
        <f>AO14/AO13</f>
        <v>0.25</v>
      </c>
      <c r="AP15" s="83"/>
      <c r="AQ15" s="205"/>
      <c r="AR15" s="205"/>
      <c r="AS15" s="420">
        <v>4</v>
      </c>
      <c r="AT15" s="421">
        <f>M$17*$AS15</f>
        <v>2285.7142857142858</v>
      </c>
      <c r="AU15" s="426">
        <v>8</v>
      </c>
      <c r="AV15" s="422">
        <f>N$17*$AU15</f>
        <v>2285.7142857142858</v>
      </c>
    </row>
    <row r="16" spans="2:48" ht="18.600000000000001" customHeight="1" x14ac:dyDescent="0.3">
      <c r="B16" s="333"/>
      <c r="C16" s="103" t="s">
        <v>64</v>
      </c>
      <c r="D16" s="104">
        <v>0.3</v>
      </c>
      <c r="E16" s="104">
        <v>0.22</v>
      </c>
      <c r="F16" s="337"/>
      <c r="H16" s="188"/>
      <c r="I16" s="460" t="s">
        <v>191</v>
      </c>
      <c r="J16" s="399">
        <v>150000</v>
      </c>
      <c r="K16" s="399">
        <f>K14/$J$14*$J$16</f>
        <v>85714.28571428571</v>
      </c>
      <c r="L16" s="399">
        <f>L14/$J$14*$J$16</f>
        <v>42857.142857142855</v>
      </c>
      <c r="M16" s="401">
        <f>M14/$J$14*$J$16</f>
        <v>14285.714285714286</v>
      </c>
      <c r="N16" s="399">
        <f>N14/$J$14*$J$16</f>
        <v>7142.8571428571431</v>
      </c>
      <c r="O16" s="109" t="s">
        <v>75</v>
      </c>
      <c r="P16" s="467"/>
      <c r="Q16" s="83"/>
      <c r="R16" s="205"/>
      <c r="S16" s="205"/>
      <c r="T16" s="420">
        <v>5</v>
      </c>
      <c r="U16" s="421">
        <f>M$17*$T16</f>
        <v>2857.1428571428573</v>
      </c>
      <c r="V16" s="426">
        <v>9</v>
      </c>
      <c r="W16" s="422">
        <f>N$17*$V16</f>
        <v>2571.4285714285716</v>
      </c>
      <c r="AA16" s="487" t="s">
        <v>191</v>
      </c>
      <c r="AB16" s="396">
        <f>AB14*10</f>
        <v>465624.04040617956</v>
      </c>
      <c r="AC16" s="396">
        <f>AC14/$AB$14*$AB$16</f>
        <v>333.54157622219162</v>
      </c>
      <c r="AD16" s="397">
        <f t="shared" ref="AD16:AF16" si="2">AD14/$AB$14*$AB$16</f>
        <v>33409.747884922865</v>
      </c>
      <c r="AE16" s="398">
        <f t="shared" si="2"/>
        <v>151158.26283076208</v>
      </c>
      <c r="AF16" s="396">
        <f t="shared" si="2"/>
        <v>280722.48811427242</v>
      </c>
      <c r="AJ16" s="487" t="s">
        <v>191</v>
      </c>
      <c r="AK16" s="396">
        <f>AK14*10</f>
        <v>48322.247237003685</v>
      </c>
      <c r="AL16" s="396">
        <f>AL14/$AK$14*$AK$16</f>
        <v>245.59967253376996</v>
      </c>
      <c r="AM16" s="397">
        <f>AM14/$AK$14*$AK$16</f>
        <v>12300.450266066311</v>
      </c>
      <c r="AN16" s="398">
        <f>AN14/$AK$14*$AK$16</f>
        <v>18550.620821394459</v>
      </c>
      <c r="AO16" s="396">
        <f>AO14/$AK$14*$AK$16</f>
        <v>17225.576477009145</v>
      </c>
      <c r="AP16" s="83"/>
      <c r="AQ16" s="205"/>
      <c r="AR16" s="205"/>
      <c r="AS16" s="420">
        <v>5</v>
      </c>
      <c r="AT16" s="421">
        <f>M$17*$AS16</f>
        <v>2857.1428571428573</v>
      </c>
      <c r="AU16" s="426">
        <v>9</v>
      </c>
      <c r="AV16" s="422">
        <f>N$17*$AU16</f>
        <v>2571.4285714285716</v>
      </c>
    </row>
    <row r="17" spans="2:48" x14ac:dyDescent="0.3">
      <c r="B17" s="333"/>
      <c r="C17" s="103" t="s">
        <v>27</v>
      </c>
      <c r="D17" s="104">
        <v>0.3</v>
      </c>
      <c r="E17" s="104">
        <v>0.66</v>
      </c>
      <c r="F17" s="337"/>
      <c r="H17" s="188"/>
      <c r="I17" s="461" t="s">
        <v>193</v>
      </c>
      <c r="J17" s="113">
        <f>J16/J12</f>
        <v>1500</v>
      </c>
      <c r="K17" s="113">
        <f>K16/K12</f>
        <v>3428.5714285714284</v>
      </c>
      <c r="L17" s="113">
        <f>L16/L12</f>
        <v>1714.2857142857142</v>
      </c>
      <c r="M17" s="383">
        <f>M16/M12</f>
        <v>571.42857142857144</v>
      </c>
      <c r="N17" s="113">
        <f>N16/N12</f>
        <v>285.71428571428572</v>
      </c>
      <c r="O17" s="113" t="s">
        <v>80</v>
      </c>
      <c r="P17" s="466"/>
      <c r="Q17" s="83"/>
      <c r="R17" s="205"/>
      <c r="S17" s="205"/>
      <c r="T17" s="412"/>
      <c r="U17" s="412"/>
      <c r="V17" s="426">
        <v>10</v>
      </c>
      <c r="W17" s="422">
        <f>N$17*$V17</f>
        <v>2857.1428571428573</v>
      </c>
      <c r="AA17" s="488" t="s">
        <v>219</v>
      </c>
      <c r="AB17" s="115">
        <f>AB16/AB12</f>
        <v>4656.2404040617957</v>
      </c>
      <c r="AC17" s="115">
        <f>AC16/AC12</f>
        <v>4656.2404040617957</v>
      </c>
      <c r="AD17" s="371">
        <f>AD16/AD12</f>
        <v>4656.2404040617957</v>
      </c>
      <c r="AE17" s="373">
        <f>AE16/AE12</f>
        <v>4656.2404040617957</v>
      </c>
      <c r="AF17" s="115">
        <f>AF16/AF12</f>
        <v>4656.2404040617948</v>
      </c>
      <c r="AJ17" s="488" t="s">
        <v>219</v>
      </c>
      <c r="AK17" s="115">
        <f>AK16/AK12</f>
        <v>483.22247237003683</v>
      </c>
      <c r="AL17" s="115">
        <f>AL16/AL12</f>
        <v>3428.5714285714289</v>
      </c>
      <c r="AM17" s="371">
        <f>AM16/AM12</f>
        <v>1714.2857142857142</v>
      </c>
      <c r="AN17" s="373">
        <f>AN16/AN12</f>
        <v>571.42857142857144</v>
      </c>
      <c r="AO17" s="115">
        <f>AO16/AO12</f>
        <v>285.71428571428572</v>
      </c>
      <c r="AP17" s="83"/>
      <c r="AQ17" s="205"/>
      <c r="AR17" s="205"/>
      <c r="AS17" s="412"/>
      <c r="AT17" s="412"/>
      <c r="AU17" s="426">
        <v>10</v>
      </c>
      <c r="AV17" s="422">
        <f>N$17*$AU17</f>
        <v>2857.1428571428573</v>
      </c>
    </row>
    <row r="18" spans="2:48" ht="19.5" thickBot="1" x14ac:dyDescent="0.35">
      <c r="B18" s="333"/>
      <c r="C18" s="105" t="s">
        <v>65</v>
      </c>
      <c r="D18" s="106">
        <v>0.3</v>
      </c>
      <c r="E18" s="106">
        <v>1.31</v>
      </c>
      <c r="F18" s="337"/>
      <c r="H18" s="194"/>
      <c r="I18" s="469"/>
      <c r="J18" s="470"/>
      <c r="K18" s="470"/>
      <c r="L18" s="470"/>
      <c r="M18" s="470"/>
      <c r="N18" s="470"/>
      <c r="O18" s="470"/>
      <c r="P18" s="468"/>
      <c r="Q18" s="83"/>
      <c r="R18" s="205"/>
      <c r="S18" s="205"/>
      <c r="T18" s="412"/>
      <c r="U18" s="412"/>
      <c r="V18" s="462"/>
      <c r="W18" s="412"/>
      <c r="AA18" s="376"/>
      <c r="AB18" s="372"/>
      <c r="AC18" s="372"/>
      <c r="AD18" s="372"/>
      <c r="AE18" s="372"/>
      <c r="AF18" s="372"/>
      <c r="AJ18" s="376"/>
      <c r="AK18" s="372"/>
      <c r="AL18" s="372"/>
      <c r="AM18" s="372"/>
      <c r="AN18" s="372"/>
      <c r="AO18" s="372"/>
      <c r="AP18" s="83"/>
      <c r="AQ18" s="205"/>
      <c r="AR18" s="205"/>
      <c r="AS18" s="412"/>
      <c r="AT18" s="412"/>
      <c r="AU18" s="462"/>
      <c r="AV18" s="412"/>
    </row>
    <row r="19" spans="2:48" x14ac:dyDescent="0.3">
      <c r="B19" s="334"/>
      <c r="C19" s="335"/>
      <c r="D19" s="335"/>
      <c r="E19" s="335"/>
      <c r="F19" s="336"/>
      <c r="G19" s="111"/>
      <c r="H19" s="111"/>
      <c r="I19" s="357"/>
      <c r="J19" s="137"/>
      <c r="K19" s="83"/>
      <c r="L19" s="83"/>
      <c r="M19" s="83"/>
      <c r="N19" s="83"/>
      <c r="O19" s="137"/>
      <c r="P19" s="137"/>
      <c r="Q19" s="83"/>
      <c r="R19" s="451" t="s">
        <v>173</v>
      </c>
      <c r="S19" s="205"/>
      <c r="T19" s="205"/>
      <c r="U19" s="205"/>
      <c r="V19" s="205"/>
      <c r="AA19" s="376"/>
      <c r="AB19" s="412"/>
      <c r="AC19" s="412"/>
      <c r="AD19" s="412"/>
      <c r="AE19" s="412"/>
      <c r="AF19" s="412"/>
      <c r="AJ19" s="417"/>
      <c r="AK19" s="372"/>
      <c r="AL19" s="114"/>
      <c r="AM19" s="114"/>
      <c r="AN19" s="114"/>
      <c r="AO19" s="114"/>
      <c r="AP19" s="83"/>
      <c r="AQ19" s="451" t="s">
        <v>197</v>
      </c>
      <c r="AR19" s="205"/>
      <c r="AS19" s="205"/>
      <c r="AT19" s="205"/>
      <c r="AU19" s="205"/>
    </row>
    <row r="20" spans="2:48" x14ac:dyDescent="0.3">
      <c r="G20" s="111"/>
      <c r="H20" s="111"/>
      <c r="I20" s="394" t="s">
        <v>153</v>
      </c>
      <c r="J20" s="368" t="s">
        <v>6</v>
      </c>
      <c r="K20" s="368" t="s">
        <v>67</v>
      </c>
      <c r="L20" s="369" t="s">
        <v>68</v>
      </c>
      <c r="M20" s="368" t="s">
        <v>69</v>
      </c>
      <c r="N20" s="368" t="s">
        <v>70</v>
      </c>
      <c r="O20" s="137"/>
      <c r="P20" s="137"/>
      <c r="Q20" s="83"/>
      <c r="R20" s="452" t="s">
        <v>208</v>
      </c>
      <c r="S20" s="205"/>
      <c r="T20" s="205"/>
      <c r="U20" s="205"/>
      <c r="V20" s="205"/>
      <c r="AA20" s="403" t="s">
        <v>153</v>
      </c>
      <c r="AB20" s="404" t="s">
        <v>6</v>
      </c>
      <c r="AC20" s="404" t="s">
        <v>67</v>
      </c>
      <c r="AD20" s="405" t="s">
        <v>68</v>
      </c>
      <c r="AE20" s="404" t="s">
        <v>69</v>
      </c>
      <c r="AF20" s="404" t="s">
        <v>70</v>
      </c>
      <c r="AJ20" s="394" t="s">
        <v>153</v>
      </c>
      <c r="AK20" s="368" t="s">
        <v>6</v>
      </c>
      <c r="AL20" s="368" t="s">
        <v>67</v>
      </c>
      <c r="AM20" s="369" t="s">
        <v>68</v>
      </c>
      <c r="AN20" s="368" t="s">
        <v>69</v>
      </c>
      <c r="AO20" s="368" t="s">
        <v>70</v>
      </c>
      <c r="AP20" s="83"/>
      <c r="AR20" s="205"/>
      <c r="AS20" s="205"/>
      <c r="AT20" s="205"/>
      <c r="AU20" s="205"/>
    </row>
    <row r="21" spans="2:48" x14ac:dyDescent="0.3">
      <c r="G21" s="111"/>
      <c r="H21" s="111"/>
      <c r="I21" s="388" t="s">
        <v>154</v>
      </c>
      <c r="J21" s="365"/>
      <c r="K21" s="366">
        <v>2</v>
      </c>
      <c r="L21" s="367">
        <v>1</v>
      </c>
      <c r="M21" s="366">
        <f>1/3</f>
        <v>0.33333333333333331</v>
      </c>
      <c r="N21" s="391">
        <f>1/6</f>
        <v>0.16666666666666666</v>
      </c>
      <c r="O21" s="137"/>
      <c r="P21" s="137"/>
      <c r="Q21" s="83"/>
      <c r="R21" s="452" t="s">
        <v>209</v>
      </c>
      <c r="S21" s="205"/>
      <c r="T21" s="205"/>
      <c r="U21" s="205"/>
      <c r="V21" s="205"/>
      <c r="AA21" s="388" t="s">
        <v>154</v>
      </c>
      <c r="AB21" s="365"/>
      <c r="AC21" s="366">
        <v>2</v>
      </c>
      <c r="AD21" s="367">
        <v>1</v>
      </c>
      <c r="AE21" s="366">
        <f>1/3</f>
        <v>0.33333333333333331</v>
      </c>
      <c r="AF21" s="391">
        <f>1/6</f>
        <v>0.16666666666666666</v>
      </c>
      <c r="AJ21" s="388" t="s">
        <v>154</v>
      </c>
      <c r="AK21" s="365"/>
      <c r="AL21" s="366">
        <v>2</v>
      </c>
      <c r="AM21" s="367">
        <v>1</v>
      </c>
      <c r="AN21" s="366">
        <f>1/3</f>
        <v>0.33333333333333331</v>
      </c>
      <c r="AO21" s="391">
        <f>1/6</f>
        <v>0.16666666666666666</v>
      </c>
      <c r="AP21" s="83"/>
      <c r="AQ21" s="205"/>
      <c r="AR21" s="205"/>
      <c r="AS21" s="205"/>
      <c r="AT21" s="205"/>
      <c r="AU21" s="205"/>
    </row>
    <row r="22" spans="2:48" x14ac:dyDescent="0.3">
      <c r="G22" s="111"/>
      <c r="H22" s="111"/>
      <c r="I22" s="379" t="s">
        <v>160</v>
      </c>
      <c r="J22" s="380">
        <f>SUM(K22:N22)</f>
        <v>87.5</v>
      </c>
      <c r="K22" s="393">
        <f>K12*2</f>
        <v>50</v>
      </c>
      <c r="L22" s="381">
        <f>L12/1</f>
        <v>25</v>
      </c>
      <c r="M22" s="393">
        <f>M12/3</f>
        <v>8.3333333333333339</v>
      </c>
      <c r="N22" s="389">
        <f>N12/6</f>
        <v>4.166666666666667</v>
      </c>
      <c r="O22" s="137"/>
      <c r="P22" s="137"/>
      <c r="Q22" s="83"/>
      <c r="R22" s="205"/>
      <c r="S22" s="205"/>
      <c r="T22" s="205"/>
      <c r="U22" s="205"/>
      <c r="V22" s="205"/>
      <c r="AA22" s="379" t="s">
        <v>156</v>
      </c>
      <c r="AB22" s="380">
        <f>SUM(AC22:AF22)</f>
        <v>28.187977554918817</v>
      </c>
      <c r="AC22" s="393">
        <f>AC12*2</f>
        <v>0.14326647564469913</v>
      </c>
      <c r="AD22" s="381">
        <f>AD12</f>
        <v>7.1752626552053487</v>
      </c>
      <c r="AE22" s="393">
        <f>AE12/3</f>
        <v>10.821195479146768</v>
      </c>
      <c r="AF22" s="389">
        <f>AF12/6</f>
        <v>10.048252944922</v>
      </c>
      <c r="AJ22" s="379" t="s">
        <v>160</v>
      </c>
      <c r="AK22" s="380">
        <f>SUM(AL22:AO22)</f>
        <v>28.187977554918817</v>
      </c>
      <c r="AL22" s="393">
        <f>AL12*2</f>
        <v>0.14326647564469913</v>
      </c>
      <c r="AM22" s="381">
        <f>AM12/1</f>
        <v>7.1752626552053487</v>
      </c>
      <c r="AN22" s="393">
        <f>AN12/3</f>
        <v>10.821195479146768</v>
      </c>
      <c r="AO22" s="389">
        <f>AO12/6</f>
        <v>10.048252944922</v>
      </c>
      <c r="AP22" s="83"/>
      <c r="AQ22" s="205"/>
      <c r="AR22" s="205"/>
      <c r="AS22" s="205"/>
      <c r="AT22" s="205"/>
      <c r="AU22" s="205"/>
    </row>
    <row r="23" spans="2:48" x14ac:dyDescent="0.3">
      <c r="B23" s="355"/>
      <c r="C23" s="355"/>
      <c r="G23" s="111"/>
      <c r="H23" s="111"/>
      <c r="I23" s="377" t="s">
        <v>157</v>
      </c>
      <c r="J23" s="392"/>
      <c r="K23" s="392">
        <f>K17</f>
        <v>3428.5714285714284</v>
      </c>
      <c r="L23" s="390">
        <f>L17</f>
        <v>1714.2857142857142</v>
      </c>
      <c r="M23" s="392">
        <f>M17*3</f>
        <v>1714.2857142857142</v>
      </c>
      <c r="N23" s="390">
        <f>N17*6</f>
        <v>1714.2857142857142</v>
      </c>
      <c r="O23" s="137"/>
      <c r="P23" s="137"/>
      <c r="Q23" s="83"/>
      <c r="R23" s="205"/>
      <c r="S23" s="205"/>
      <c r="T23" s="205"/>
      <c r="U23" s="205"/>
      <c r="V23" s="205"/>
      <c r="AA23" s="377" t="s">
        <v>157</v>
      </c>
      <c r="AB23" s="392"/>
      <c r="AC23" s="392">
        <f>AC17</f>
        <v>4656.2404040617957</v>
      </c>
      <c r="AD23" s="390">
        <f>AD17</f>
        <v>4656.2404040617957</v>
      </c>
      <c r="AE23" s="392">
        <f>AE17*3</f>
        <v>13968.721212185388</v>
      </c>
      <c r="AF23" s="390">
        <f>AF17*6</f>
        <v>27937.442424370769</v>
      </c>
      <c r="AJ23" s="377" t="s">
        <v>157</v>
      </c>
      <c r="AK23" s="392"/>
      <c r="AL23" s="392">
        <f>AL17</f>
        <v>3428.5714285714289</v>
      </c>
      <c r="AM23" s="390">
        <f>AM17</f>
        <v>1714.2857142857142</v>
      </c>
      <c r="AN23" s="392">
        <f>AN17*3</f>
        <v>1714.2857142857142</v>
      </c>
      <c r="AO23" s="390">
        <f>AO17*6</f>
        <v>1714.2857142857142</v>
      </c>
      <c r="AP23" s="83"/>
      <c r="AQ23" s="205"/>
      <c r="AR23" s="205"/>
      <c r="AS23" s="205"/>
      <c r="AT23" s="205"/>
      <c r="AU23" s="205"/>
    </row>
    <row r="24" spans="2:48" x14ac:dyDescent="0.3">
      <c r="B24" s="355"/>
      <c r="C24" s="355"/>
      <c r="G24" s="111"/>
      <c r="H24" s="111"/>
      <c r="I24" s="384"/>
      <c r="J24" s="378"/>
      <c r="K24" s="378"/>
      <c r="L24" s="378"/>
      <c r="M24" s="378"/>
      <c r="N24" s="378"/>
      <c r="O24" s="137"/>
      <c r="P24" s="137"/>
      <c r="Q24" s="83"/>
      <c r="R24" s="205"/>
      <c r="S24" s="205"/>
      <c r="T24" s="205"/>
      <c r="U24" s="205"/>
      <c r="V24" s="205"/>
      <c r="AA24" s="384"/>
      <c r="AB24" s="378"/>
      <c r="AC24" s="378"/>
      <c r="AD24" s="378"/>
      <c r="AE24" s="378"/>
      <c r="AF24" s="378"/>
      <c r="AJ24" s="384"/>
      <c r="AK24" s="378"/>
      <c r="AL24" s="378"/>
      <c r="AM24" s="378"/>
      <c r="AN24" s="378"/>
      <c r="AO24" s="378"/>
      <c r="AP24" s="83"/>
      <c r="AQ24" s="205"/>
      <c r="AR24" s="205"/>
      <c r="AS24" s="205"/>
      <c r="AT24" s="205"/>
      <c r="AU24" s="205"/>
    </row>
    <row r="25" spans="2:48" x14ac:dyDescent="0.3">
      <c r="B25" s="355"/>
      <c r="C25" s="355"/>
      <c r="G25" s="111"/>
      <c r="H25" s="111"/>
      <c r="I25" s="451" t="s">
        <v>199</v>
      </c>
      <c r="J25" s="378"/>
      <c r="K25" s="378"/>
      <c r="L25" s="378"/>
      <c r="M25" s="378"/>
      <c r="N25" s="378"/>
      <c r="O25" s="137"/>
      <c r="P25" s="137"/>
      <c r="Q25" s="83"/>
      <c r="S25" s="205"/>
      <c r="T25" s="205"/>
      <c r="U25" s="205"/>
      <c r="V25" s="205"/>
      <c r="AA25" s="451" t="s">
        <v>212</v>
      </c>
      <c r="AJ25" s="451" t="s">
        <v>180</v>
      </c>
      <c r="AK25" s="378"/>
      <c r="AL25" s="378"/>
      <c r="AM25" s="378"/>
      <c r="AN25" s="378"/>
      <c r="AO25" s="378"/>
      <c r="AP25" s="83"/>
      <c r="AQ25" s="205"/>
      <c r="AR25" s="205"/>
      <c r="AS25" s="205"/>
      <c r="AT25" s="205"/>
      <c r="AU25" s="205"/>
    </row>
    <row r="26" spans="2:48" x14ac:dyDescent="0.3">
      <c r="B26" s="355"/>
      <c r="C26" s="355"/>
      <c r="G26" s="111"/>
      <c r="H26" s="111"/>
      <c r="I26" s="451" t="s">
        <v>200</v>
      </c>
      <c r="J26" s="378"/>
      <c r="K26" s="378"/>
      <c r="L26" s="378"/>
      <c r="M26" s="378"/>
      <c r="N26" s="378"/>
      <c r="O26" s="137"/>
      <c r="P26" s="137"/>
      <c r="Q26" s="83"/>
      <c r="R26" s="205"/>
      <c r="S26" s="205"/>
      <c r="T26" s="205"/>
      <c r="U26" s="205"/>
      <c r="V26" s="205"/>
      <c r="AA26" s="452" t="s">
        <v>214</v>
      </c>
      <c r="AJ26" s="452" t="s">
        <v>214</v>
      </c>
      <c r="AK26" s="378"/>
      <c r="AL26" s="378"/>
      <c r="AM26" s="378"/>
      <c r="AN26" s="378"/>
      <c r="AO26" s="378"/>
      <c r="AP26" s="83"/>
      <c r="AQ26" s="205"/>
      <c r="AR26" s="205"/>
      <c r="AS26" s="205"/>
      <c r="AT26" s="205"/>
      <c r="AU26" s="205"/>
    </row>
    <row r="27" spans="2:48" x14ac:dyDescent="0.3">
      <c r="B27" s="355"/>
      <c r="C27" s="355"/>
      <c r="G27" s="111"/>
      <c r="H27" s="111"/>
      <c r="I27" s="451" t="s">
        <v>201</v>
      </c>
      <c r="J27" s="378"/>
      <c r="K27" s="378"/>
      <c r="L27" s="378"/>
      <c r="M27" s="378"/>
      <c r="N27" s="378"/>
      <c r="O27" s="137"/>
      <c r="P27" s="137"/>
      <c r="Q27" s="83"/>
      <c r="R27" s="205"/>
      <c r="S27" s="205"/>
      <c r="T27" s="205"/>
      <c r="U27" s="205"/>
      <c r="V27" s="205"/>
      <c r="AA27" s="452" t="s">
        <v>213</v>
      </c>
      <c r="AJ27" s="452" t="s">
        <v>220</v>
      </c>
      <c r="AK27" s="378"/>
      <c r="AL27" s="378"/>
      <c r="AM27" s="378"/>
      <c r="AN27" s="378"/>
      <c r="AO27" s="378"/>
      <c r="AP27" s="83"/>
      <c r="AQ27" s="205"/>
      <c r="AR27" s="205"/>
      <c r="AS27" s="205"/>
      <c r="AT27" s="205"/>
      <c r="AU27" s="205"/>
    </row>
    <row r="28" spans="2:48" x14ac:dyDescent="0.3">
      <c r="B28" s="355"/>
      <c r="C28" s="355"/>
      <c r="G28" s="111"/>
      <c r="H28" s="111"/>
      <c r="I28" s="452" t="s">
        <v>202</v>
      </c>
      <c r="J28" s="378"/>
      <c r="K28" s="378"/>
      <c r="L28" s="378"/>
      <c r="M28" s="378"/>
      <c r="N28" s="378"/>
      <c r="O28" s="137"/>
      <c r="P28" s="137"/>
      <c r="Q28" s="83"/>
      <c r="R28" s="205"/>
      <c r="S28" s="205"/>
      <c r="T28" s="205"/>
      <c r="U28" s="205"/>
      <c r="V28" s="205"/>
      <c r="AA28" s="452" t="s">
        <v>184</v>
      </c>
      <c r="AJ28" s="452" t="s">
        <v>221</v>
      </c>
      <c r="AK28" s="378"/>
      <c r="AL28" s="378"/>
      <c r="AM28" s="378"/>
      <c r="AN28" s="378"/>
      <c r="AO28" s="378"/>
      <c r="AP28" s="83"/>
      <c r="AQ28" s="205"/>
      <c r="AR28" s="205"/>
      <c r="AS28" s="205"/>
      <c r="AT28" s="205"/>
      <c r="AU28" s="205"/>
    </row>
    <row r="29" spans="2:48" x14ac:dyDescent="0.3">
      <c r="B29" s="355"/>
      <c r="C29" s="355"/>
      <c r="G29" s="111"/>
      <c r="H29" s="111"/>
      <c r="I29" s="452" t="s">
        <v>203</v>
      </c>
      <c r="J29" s="378"/>
      <c r="K29" s="378"/>
      <c r="L29" s="378"/>
      <c r="M29" s="378"/>
      <c r="N29" s="378"/>
      <c r="O29" s="137"/>
      <c r="P29" s="137"/>
      <c r="Q29" s="83"/>
      <c r="R29" s="205"/>
      <c r="S29" s="205"/>
      <c r="T29" s="205"/>
      <c r="U29" s="205"/>
      <c r="V29" s="205"/>
      <c r="AA29" s="452" t="s">
        <v>177</v>
      </c>
      <c r="AJ29" s="452"/>
      <c r="AK29" s="378"/>
      <c r="AL29" s="378"/>
      <c r="AM29" s="378"/>
      <c r="AN29" s="378"/>
      <c r="AO29" s="378"/>
      <c r="AP29" s="83"/>
      <c r="AQ29" s="205"/>
      <c r="AR29" s="205"/>
      <c r="AS29" s="205"/>
      <c r="AT29" s="205"/>
      <c r="AU29" s="205"/>
    </row>
    <row r="30" spans="2:48" s="83" customFormat="1" ht="19.5" thickBot="1" x14ac:dyDescent="0.35">
      <c r="B30" s="356"/>
      <c r="E30" s="107"/>
      <c r="F30" s="107"/>
      <c r="G30" s="111"/>
      <c r="H30" s="111"/>
      <c r="I30" s="384"/>
      <c r="J30" s="378"/>
      <c r="K30" s="378"/>
      <c r="L30" s="378"/>
      <c r="M30" s="378"/>
      <c r="N30" s="378"/>
      <c r="O30" s="137"/>
      <c r="P30" s="137"/>
      <c r="Q30" s="137"/>
      <c r="R30" s="412"/>
      <c r="S30" s="412"/>
      <c r="T30" s="412"/>
      <c r="U30" s="412"/>
      <c r="V30" s="412"/>
      <c r="W30" s="424"/>
      <c r="X30" s="1"/>
      <c r="Y30" s="453"/>
      <c r="Z30" s="1"/>
      <c r="AH30" s="453"/>
      <c r="AI30" s="1"/>
      <c r="AM30" s="1"/>
      <c r="AN30" s="1"/>
      <c r="AO30" s="1"/>
      <c r="AP30" s="137"/>
      <c r="AQ30" s="412"/>
      <c r="AR30" s="412"/>
      <c r="AS30" s="412"/>
      <c r="AT30" s="412"/>
      <c r="AU30" s="412"/>
      <c r="AV30" s="424"/>
    </row>
    <row r="31" spans="2:48" s="83" customFormat="1" ht="19.5" thickBot="1" x14ac:dyDescent="0.35">
      <c r="B31" s="356"/>
      <c r="E31" s="107"/>
      <c r="F31" s="107"/>
      <c r="G31" s="111"/>
      <c r="H31" s="475" t="s">
        <v>166</v>
      </c>
      <c r="I31" s="475"/>
      <c r="J31" s="476"/>
      <c r="K31" s="476"/>
      <c r="L31" s="476"/>
      <c r="M31" s="476"/>
      <c r="N31" s="476"/>
      <c r="O31" s="476"/>
      <c r="P31" s="477"/>
      <c r="Q31" s="137"/>
      <c r="R31" s="412"/>
      <c r="S31" s="412"/>
      <c r="T31" s="412"/>
      <c r="U31" s="412"/>
      <c r="V31" s="412"/>
      <c r="W31" s="424"/>
      <c r="X31" s="1"/>
      <c r="Y31" s="453"/>
      <c r="Z31" s="1"/>
      <c r="AA31" s="471" t="s">
        <v>183</v>
      </c>
      <c r="AB31" s="472"/>
      <c r="AC31" s="472"/>
      <c r="AD31" s="473"/>
      <c r="AE31" s="473"/>
      <c r="AF31" s="474"/>
      <c r="AG31" s="1"/>
      <c r="AH31" s="453"/>
      <c r="AI31" s="1"/>
      <c r="AM31" s="1"/>
      <c r="AN31" s="1"/>
      <c r="AO31" s="1"/>
      <c r="AP31" s="137"/>
      <c r="AQ31" s="412"/>
      <c r="AR31" s="412"/>
      <c r="AS31" s="412"/>
      <c r="AT31" s="412"/>
      <c r="AU31" s="412"/>
      <c r="AV31" s="424"/>
    </row>
    <row r="32" spans="2:48" s="83" customFormat="1" ht="19.5" thickBot="1" x14ac:dyDescent="0.35">
      <c r="G32" s="111"/>
      <c r="H32" s="111"/>
      <c r="J32" s="378"/>
      <c r="K32" s="378"/>
      <c r="L32" s="1"/>
      <c r="M32" s="1"/>
      <c r="N32" s="1"/>
      <c r="O32" s="1"/>
      <c r="P32" s="1"/>
      <c r="Q32" s="1"/>
      <c r="R32" s="424"/>
      <c r="S32" s="424"/>
      <c r="T32" s="419"/>
      <c r="U32" s="419"/>
      <c r="V32" s="419"/>
      <c r="W32" s="424"/>
      <c r="X32" s="1"/>
      <c r="Y32" s="453"/>
      <c r="Z32" s="1"/>
      <c r="AA32" s="411"/>
      <c r="AB32" s="412"/>
      <c r="AC32" s="412"/>
      <c r="AD32" s="114"/>
      <c r="AE32" s="114"/>
      <c r="AF32" s="114"/>
      <c r="AG32" s="1"/>
      <c r="AH32" s="453"/>
      <c r="AI32" s="1"/>
      <c r="AJ32" s="481" t="s">
        <v>179</v>
      </c>
      <c r="AK32" s="482"/>
      <c r="AL32" s="482"/>
      <c r="AM32" s="482"/>
      <c r="AN32" s="482"/>
      <c r="AO32" s="483"/>
      <c r="AP32" s="1"/>
      <c r="AQ32" s="424"/>
      <c r="AR32" s="424"/>
      <c r="AS32" s="419"/>
      <c r="AT32" s="419"/>
      <c r="AU32" s="419"/>
      <c r="AV32" s="424"/>
    </row>
    <row r="33" spans="1:48" s="83" customFormat="1" x14ac:dyDescent="0.3">
      <c r="G33" s="111"/>
      <c r="H33" s="463"/>
      <c r="I33" s="464" t="s">
        <v>195</v>
      </c>
      <c r="J33" s="187"/>
      <c r="K33" s="186"/>
      <c r="L33" s="186"/>
      <c r="M33" s="186"/>
      <c r="N33" s="186"/>
      <c r="O33" s="186"/>
      <c r="P33" s="191"/>
      <c r="Q33" s="1"/>
      <c r="R33" s="424"/>
      <c r="S33" s="424"/>
      <c r="T33" s="424"/>
      <c r="U33" s="424"/>
      <c r="V33" s="424"/>
      <c r="W33" s="424"/>
      <c r="X33" s="1"/>
      <c r="Y33" s="453"/>
      <c r="Z33" s="1"/>
      <c r="AA33" s="207" t="s">
        <v>66</v>
      </c>
      <c r="AB33" s="207" t="s">
        <v>6</v>
      </c>
      <c r="AC33" s="207" t="s">
        <v>67</v>
      </c>
      <c r="AD33" s="416" t="s">
        <v>68</v>
      </c>
      <c r="AE33" s="207" t="s">
        <v>69</v>
      </c>
      <c r="AF33" s="207" t="s">
        <v>70</v>
      </c>
      <c r="AG33" s="1"/>
      <c r="AH33" s="453"/>
      <c r="AI33" s="1"/>
      <c r="AJ33" s="411"/>
      <c r="AK33" s="412"/>
      <c r="AL33" s="412"/>
      <c r="AM33" s="204"/>
      <c r="AN33" s="204"/>
      <c r="AO33" s="204"/>
      <c r="AQ33" s="424"/>
      <c r="AR33" s="424"/>
      <c r="AS33" s="424"/>
      <c r="AT33" s="424"/>
      <c r="AU33" s="424"/>
      <c r="AV33" s="424"/>
    </row>
    <row r="34" spans="1:48" s="83" customFormat="1" x14ac:dyDescent="0.3">
      <c r="A34" s="111"/>
      <c r="G34" s="111"/>
      <c r="H34" s="188"/>
      <c r="I34" s="198" t="s">
        <v>66</v>
      </c>
      <c r="J34" s="198" t="s">
        <v>6</v>
      </c>
      <c r="K34" s="198" t="s">
        <v>67</v>
      </c>
      <c r="L34" s="410" t="s">
        <v>68</v>
      </c>
      <c r="M34" s="198" t="s">
        <v>69</v>
      </c>
      <c r="N34" s="198" t="s">
        <v>70</v>
      </c>
      <c r="O34" s="198" t="s">
        <v>71</v>
      </c>
      <c r="P34" s="465"/>
      <c r="Q34" s="1"/>
      <c r="R34" s="428" t="s">
        <v>196</v>
      </c>
      <c r="S34" s="428"/>
      <c r="T34" s="428"/>
      <c r="U34" s="428"/>
      <c r="V34" s="428"/>
      <c r="W34" s="429"/>
      <c r="X34" s="1"/>
      <c r="Y34" s="453"/>
      <c r="Z34" s="1"/>
      <c r="AA34" s="374" t="s">
        <v>72</v>
      </c>
      <c r="AB34" s="117">
        <v>100</v>
      </c>
      <c r="AC34" s="387">
        <v>7.1633237822349566E-2</v>
      </c>
      <c r="AD34" s="385">
        <v>7.1752626552053487</v>
      </c>
      <c r="AE34" s="386">
        <v>32.463586437440306</v>
      </c>
      <c r="AF34" s="439">
        <v>60.289517669532003</v>
      </c>
      <c r="AG34" s="1"/>
      <c r="AH34" s="453"/>
      <c r="AI34" s="1"/>
      <c r="AJ34" s="207" t="s">
        <v>66</v>
      </c>
      <c r="AK34" s="207" t="s">
        <v>6</v>
      </c>
      <c r="AL34" s="207" t="s">
        <v>67</v>
      </c>
      <c r="AM34" s="416" t="s">
        <v>68</v>
      </c>
      <c r="AN34" s="207" t="s">
        <v>69</v>
      </c>
      <c r="AO34" s="207" t="s">
        <v>70</v>
      </c>
      <c r="AQ34" s="428" t="s">
        <v>167</v>
      </c>
      <c r="AR34" s="428"/>
      <c r="AS34" s="428"/>
      <c r="AT34" s="428"/>
      <c r="AU34" s="428"/>
      <c r="AV34" s="429"/>
    </row>
    <row r="35" spans="1:48" s="83" customFormat="1" x14ac:dyDescent="0.3">
      <c r="A35" s="111"/>
      <c r="G35" s="111"/>
      <c r="H35" s="188"/>
      <c r="I35" s="459" t="s">
        <v>72</v>
      </c>
      <c r="J35" s="109">
        <v>100</v>
      </c>
      <c r="K35" s="109">
        <v>25</v>
      </c>
      <c r="L35" s="364">
        <v>25</v>
      </c>
      <c r="M35" s="360">
        <v>25</v>
      </c>
      <c r="N35" s="109">
        <v>25</v>
      </c>
      <c r="O35" s="110" t="s">
        <v>73</v>
      </c>
      <c r="P35" s="466"/>
      <c r="Q35" s="1"/>
      <c r="R35" s="431" t="s">
        <v>158</v>
      </c>
      <c r="S35" s="431" t="s">
        <v>159</v>
      </c>
      <c r="T35" s="430" t="s">
        <v>163</v>
      </c>
      <c r="U35" s="430"/>
      <c r="V35" s="430" t="s">
        <v>164</v>
      </c>
      <c r="W35" s="430"/>
      <c r="X35" s="1"/>
      <c r="Y35" s="453"/>
      <c r="Z35" s="1"/>
      <c r="AA35" s="374" t="s">
        <v>74</v>
      </c>
      <c r="AB35" s="117">
        <f>AB13</f>
        <v>60000</v>
      </c>
      <c r="AC35" s="117">
        <f>$AB35*(AC$22/$AB$22)</f>
        <v>304.95229826028947</v>
      </c>
      <c r="AD35" s="370">
        <f>$AB35*(AD$22/$AB$22)</f>
        <v>15273.027604536164</v>
      </c>
      <c r="AE35" s="139">
        <f>$AB35*(AE$22/$AB$22)</f>
        <v>23033.640050401838</v>
      </c>
      <c r="AF35" s="117">
        <f>$AB35*(AF$22/$AB$22)</f>
        <v>21388.380046801707</v>
      </c>
      <c r="AG35" s="1"/>
      <c r="AH35" s="453"/>
      <c r="AI35" s="1"/>
      <c r="AJ35" s="486" t="s">
        <v>72</v>
      </c>
      <c r="AK35" s="117">
        <v>100</v>
      </c>
      <c r="AL35" s="387">
        <v>7.1633237822349566E-2</v>
      </c>
      <c r="AM35" s="385">
        <v>7.1752626552053487</v>
      </c>
      <c r="AN35" s="386">
        <v>32.463586437440306</v>
      </c>
      <c r="AO35" s="387">
        <v>60.289517669532003</v>
      </c>
      <c r="AQ35" s="431" t="s">
        <v>158</v>
      </c>
      <c r="AR35" s="431" t="s">
        <v>159</v>
      </c>
      <c r="AS35" s="430" t="s">
        <v>163</v>
      </c>
      <c r="AT35" s="430"/>
      <c r="AU35" s="430" t="s">
        <v>164</v>
      </c>
      <c r="AV35" s="430"/>
    </row>
    <row r="36" spans="1:48" s="83" customFormat="1" x14ac:dyDescent="0.3">
      <c r="A36" s="111"/>
      <c r="G36" s="111"/>
      <c r="H36" s="188"/>
      <c r="I36" s="460" t="s">
        <v>189</v>
      </c>
      <c r="J36" s="109">
        <v>60000</v>
      </c>
      <c r="K36" s="109">
        <f>$J36*(K$45/$J$45)</f>
        <v>34285.714285714283</v>
      </c>
      <c r="L36" s="360">
        <f>$J36*(L$45/$J$45)</f>
        <v>17142.857142857141</v>
      </c>
      <c r="M36" s="138">
        <f>$J36*(M$45/$J$45)</f>
        <v>5714.2857142857147</v>
      </c>
      <c r="N36" s="358">
        <f>$J36*(N$45/$J$45)</f>
        <v>2857.1428571428573</v>
      </c>
      <c r="O36" s="109" t="s">
        <v>75</v>
      </c>
      <c r="P36" s="467"/>
      <c r="Q36" s="1"/>
      <c r="R36" s="425">
        <f>K40</f>
        <v>1500</v>
      </c>
      <c r="S36" s="425">
        <f>L40</f>
        <v>1500</v>
      </c>
      <c r="T36" s="420">
        <v>2</v>
      </c>
      <c r="U36" s="421">
        <f>L$40*$T13</f>
        <v>3000</v>
      </c>
      <c r="V36" s="426">
        <v>6</v>
      </c>
      <c r="W36" s="422">
        <f>M$40*$V13</f>
        <v>9000</v>
      </c>
      <c r="X36" s="1"/>
      <c r="Y36" s="453"/>
      <c r="Z36" s="1"/>
      <c r="AA36" s="374" t="s">
        <v>76</v>
      </c>
      <c r="AB36" s="117">
        <v>15000</v>
      </c>
      <c r="AC36" s="117">
        <f>AC34/$AB$34*$AB$36</f>
        <v>10.744985673352435</v>
      </c>
      <c r="AD36" s="370">
        <f>AD34/$AB$34*$AB$36</f>
        <v>1076.2893982808023</v>
      </c>
      <c r="AE36" s="139">
        <f>AE34/$AB$34*$AB$36</f>
        <v>4869.5379656160458</v>
      </c>
      <c r="AF36" s="117">
        <f>AF34/$AB$34*$AB$36</f>
        <v>9043.4276504297995</v>
      </c>
      <c r="AH36" s="453"/>
      <c r="AI36" s="1"/>
      <c r="AJ36" s="487" t="s">
        <v>189</v>
      </c>
      <c r="AK36" s="406">
        <f>AK13</f>
        <v>19328.898894801474</v>
      </c>
      <c r="AL36" s="117">
        <f>$AK36*(AL$45/$AK$45)</f>
        <v>98.239869013507985</v>
      </c>
      <c r="AM36" s="370">
        <f>$AK36*(AM$45/$AK$45)</f>
        <v>4920.1801064265246</v>
      </c>
      <c r="AN36" s="139">
        <f>$AK36*(AN$45/$AK$45)</f>
        <v>7420.2483285577837</v>
      </c>
      <c r="AO36" s="117">
        <f>$AK36*(AO$45/$AK$45)</f>
        <v>6890.2305908036569</v>
      </c>
      <c r="AQ36" s="425">
        <f>AL40</f>
        <v>483.22247237003688</v>
      </c>
      <c r="AR36" s="425">
        <f>AM40</f>
        <v>483.22247237003683</v>
      </c>
      <c r="AS36" s="420">
        <v>2</v>
      </c>
      <c r="AT36" s="421">
        <f>AM$40*$AS36</f>
        <v>966.44494474007365</v>
      </c>
      <c r="AU36" s="426">
        <v>6</v>
      </c>
      <c r="AV36" s="422">
        <f>AN$40*$AU36</f>
        <v>2899.3348342202207</v>
      </c>
    </row>
    <row r="37" spans="1:48" s="83" customFormat="1" x14ac:dyDescent="0.3">
      <c r="A37" s="111"/>
      <c r="G37" s="111"/>
      <c r="H37" s="188"/>
      <c r="I37" s="460" t="s">
        <v>190</v>
      </c>
      <c r="J37" s="109">
        <f>J14</f>
        <v>15000</v>
      </c>
      <c r="K37" s="109">
        <f>K35/$J$35*$J$37</f>
        <v>3750</v>
      </c>
      <c r="L37" s="360">
        <f>L35/$J$35*$J$37</f>
        <v>3750</v>
      </c>
      <c r="M37" s="138">
        <f>M35/$J$35*$J$37</f>
        <v>3750</v>
      </c>
      <c r="N37" s="358">
        <f>N35/$J$35*$J$37</f>
        <v>3750</v>
      </c>
      <c r="O37" s="109" t="s">
        <v>161</v>
      </c>
      <c r="P37" s="467"/>
      <c r="R37" s="424"/>
      <c r="S37" s="424"/>
      <c r="T37" s="420">
        <v>3</v>
      </c>
      <c r="U37" s="421">
        <f>L$40*$T14</f>
        <v>4500</v>
      </c>
      <c r="V37" s="426">
        <v>7</v>
      </c>
      <c r="W37" s="422">
        <f>M$40*$V14</f>
        <v>10500</v>
      </c>
      <c r="Y37" s="454"/>
      <c r="AA37" s="374" t="s">
        <v>77</v>
      </c>
      <c r="AB37" s="458">
        <f>AB36/AB35</f>
        <v>0.25</v>
      </c>
      <c r="AC37" s="457">
        <f>AC36/AC35</f>
        <v>3.5234971943648517E-2</v>
      </c>
      <c r="AD37" s="457">
        <f>AD36/AD35</f>
        <v>7.0469943887297049E-2</v>
      </c>
      <c r="AE37" s="457">
        <f>AE36/AE35</f>
        <v>0.21140983166189112</v>
      </c>
      <c r="AF37" s="457">
        <f>AF36/AF35</f>
        <v>0.42281966332378224</v>
      </c>
      <c r="AH37" s="454"/>
      <c r="AJ37" s="487" t="s">
        <v>190</v>
      </c>
      <c r="AK37" s="117">
        <f>AK36*0.25</f>
        <v>4832.2247237003685</v>
      </c>
      <c r="AL37" s="117">
        <f>AL35/$AK$35*$AK$37</f>
        <v>3.4614790284386592</v>
      </c>
      <c r="AM37" s="370">
        <f>AM35/$AK$35*$AK$37</f>
        <v>346.72481601527238</v>
      </c>
      <c r="AN37" s="139">
        <f>AN35/$AK$35*$AK$37</f>
        <v>1568.71345002983</v>
      </c>
      <c r="AO37" s="117">
        <f>AO35/$AK$35*$AK$37</f>
        <v>2913.3249786268275</v>
      </c>
      <c r="AQ37" s="424"/>
      <c r="AR37" s="424"/>
      <c r="AS37" s="420">
        <v>3</v>
      </c>
      <c r="AT37" s="421">
        <f>AM$40*$AS37</f>
        <v>1449.6674171101104</v>
      </c>
      <c r="AU37" s="426">
        <v>7</v>
      </c>
      <c r="AV37" s="422">
        <f>AN$40*$AU37</f>
        <v>3382.5573065902577</v>
      </c>
    </row>
    <row r="38" spans="1:48" s="83" customFormat="1" x14ac:dyDescent="0.3">
      <c r="A38" s="111"/>
      <c r="G38" s="111"/>
      <c r="H38" s="188"/>
      <c r="I38" s="461" t="s">
        <v>192</v>
      </c>
      <c r="J38" s="112">
        <f>J37/J36</f>
        <v>0.25</v>
      </c>
      <c r="K38" s="112">
        <f>K37/K36</f>
        <v>0.10937500000000001</v>
      </c>
      <c r="L38" s="361">
        <f t="shared" ref="L38:N38" si="3">L37/L36</f>
        <v>0.21875000000000003</v>
      </c>
      <c r="M38" s="382">
        <f t="shared" si="3"/>
        <v>0.65625</v>
      </c>
      <c r="N38" s="359">
        <f t="shared" si="3"/>
        <v>1.3125</v>
      </c>
      <c r="O38" s="109"/>
      <c r="P38" s="467"/>
      <c r="Q38" s="1"/>
      <c r="R38" s="205"/>
      <c r="S38" s="205"/>
      <c r="T38" s="420">
        <v>4</v>
      </c>
      <c r="U38" s="421">
        <f>L$40*$T15</f>
        <v>6000</v>
      </c>
      <c r="V38" s="426">
        <v>8</v>
      </c>
      <c r="W38" s="422">
        <f>M$40*$V15</f>
        <v>12000</v>
      </c>
      <c r="Y38" s="454"/>
      <c r="AA38" s="395" t="s">
        <v>78</v>
      </c>
      <c r="AB38" s="396">
        <f>AB36*10</f>
        <v>150000</v>
      </c>
      <c r="AC38" s="396">
        <f>AC36/$AB$14*$AB$16</f>
        <v>107.44985673352434</v>
      </c>
      <c r="AD38" s="397">
        <f t="shared" ref="AD38:AF38" si="4">AD36/$AB$14*$AB$16</f>
        <v>10762.893982808022</v>
      </c>
      <c r="AE38" s="398">
        <f t="shared" si="4"/>
        <v>48695.379656160461</v>
      </c>
      <c r="AF38" s="396">
        <f t="shared" si="4"/>
        <v>90434.276504297988</v>
      </c>
      <c r="AH38" s="454"/>
      <c r="AJ38" s="488" t="s">
        <v>218</v>
      </c>
      <c r="AK38" s="407">
        <f>AK37/AK36</f>
        <v>0.25</v>
      </c>
      <c r="AL38" s="407">
        <f>AL37/AL36</f>
        <v>3.5234971943648517E-2</v>
      </c>
      <c r="AM38" s="408">
        <f t="shared" ref="AM38" si="5">AM37/AM36</f>
        <v>7.0469943887297049E-2</v>
      </c>
      <c r="AN38" s="409">
        <f t="shared" ref="AN38" si="6">AN37/AN36</f>
        <v>0.21140983166189112</v>
      </c>
      <c r="AO38" s="407">
        <f t="shared" ref="AO38" si="7">AO37/AO36</f>
        <v>0.42281966332378224</v>
      </c>
      <c r="AQ38" s="205"/>
      <c r="AR38" s="205"/>
      <c r="AS38" s="420">
        <v>4</v>
      </c>
      <c r="AT38" s="421">
        <f>AM$40*$AS38</f>
        <v>1932.8898894801473</v>
      </c>
      <c r="AU38" s="426">
        <v>8</v>
      </c>
      <c r="AV38" s="422">
        <f>AN$40*$AU38</f>
        <v>3865.7797789602946</v>
      </c>
    </row>
    <row r="39" spans="1:48" s="83" customFormat="1" x14ac:dyDescent="0.3">
      <c r="A39" s="111"/>
      <c r="G39" s="111"/>
      <c r="H39" s="188"/>
      <c r="I39" s="460" t="s">
        <v>191</v>
      </c>
      <c r="J39" s="399">
        <v>150000</v>
      </c>
      <c r="K39" s="399">
        <f>K37/$J$37*$J$39</f>
        <v>37500</v>
      </c>
      <c r="L39" s="400">
        <f>L37/$J$37*$J$39</f>
        <v>37500</v>
      </c>
      <c r="M39" s="401">
        <f>M37/$J$37*$J$39</f>
        <v>37500</v>
      </c>
      <c r="N39" s="399">
        <f>N37/$J$37*$J$39</f>
        <v>37500</v>
      </c>
      <c r="O39" s="109" t="s">
        <v>161</v>
      </c>
      <c r="P39" s="467"/>
      <c r="R39" s="424"/>
      <c r="S39" s="424"/>
      <c r="T39" s="420">
        <v>5</v>
      </c>
      <c r="U39" s="421">
        <f>L$40*$T16</f>
        <v>7500</v>
      </c>
      <c r="V39" s="426">
        <v>9</v>
      </c>
      <c r="W39" s="422">
        <f>M$40*$V16</f>
        <v>13500</v>
      </c>
      <c r="Y39" s="454"/>
      <c r="AA39" s="375" t="s">
        <v>79</v>
      </c>
      <c r="AB39" s="115">
        <f>AB38/AB34</f>
        <v>1500</v>
      </c>
      <c r="AC39" s="115">
        <f>AC38/AC34</f>
        <v>1500</v>
      </c>
      <c r="AD39" s="371">
        <f>AD38/AD34</f>
        <v>1499.9999999999998</v>
      </c>
      <c r="AE39" s="373">
        <f>AE38/AE34</f>
        <v>1500</v>
      </c>
      <c r="AF39" s="115">
        <f>AF38/AF34</f>
        <v>1499.9999999999998</v>
      </c>
      <c r="AH39" s="454"/>
      <c r="AJ39" s="487" t="s">
        <v>191</v>
      </c>
      <c r="AK39" s="396">
        <f>AK37*10</f>
        <v>48322.247237003685</v>
      </c>
      <c r="AL39" s="396">
        <f>AL37/$J$37*$J$39</f>
        <v>34.614790284386594</v>
      </c>
      <c r="AM39" s="397">
        <f>AM37/$J$37*$J$39</f>
        <v>3467.2481601527238</v>
      </c>
      <c r="AN39" s="398">
        <f>AN37/$J$37*$J$39</f>
        <v>15687.1345002983</v>
      </c>
      <c r="AO39" s="396">
        <f>AO37/$J$37*$J$39</f>
        <v>29133.249786268276</v>
      </c>
      <c r="AQ39" s="424"/>
      <c r="AR39" s="424"/>
      <c r="AS39" s="420">
        <v>5</v>
      </c>
      <c r="AT39" s="421">
        <f>AM$40*$AS39</f>
        <v>2416.1123618501842</v>
      </c>
      <c r="AU39" s="426">
        <v>9</v>
      </c>
      <c r="AV39" s="422">
        <f>AN$40*$AU39</f>
        <v>4349.0022513303311</v>
      </c>
    </row>
    <row r="40" spans="1:48" s="83" customFormat="1" x14ac:dyDescent="0.3">
      <c r="A40" s="111"/>
      <c r="G40" s="111"/>
      <c r="H40" s="188"/>
      <c r="I40" s="461" t="s">
        <v>193</v>
      </c>
      <c r="J40" s="113">
        <f>J39/J35</f>
        <v>1500</v>
      </c>
      <c r="K40" s="113">
        <f>K39/K35</f>
        <v>1500</v>
      </c>
      <c r="L40" s="362">
        <f>L39/L35</f>
        <v>1500</v>
      </c>
      <c r="M40" s="383">
        <f>M39/M35</f>
        <v>1500</v>
      </c>
      <c r="N40" s="113">
        <f>N39/N35</f>
        <v>1500</v>
      </c>
      <c r="O40" s="113" t="s">
        <v>162</v>
      </c>
      <c r="P40" s="466"/>
      <c r="R40" s="205"/>
      <c r="S40" s="205"/>
      <c r="T40" s="412"/>
      <c r="U40" s="412"/>
      <c r="V40" s="426">
        <v>10</v>
      </c>
      <c r="W40" s="422">
        <f>M$40*$V17</f>
        <v>15000</v>
      </c>
      <c r="Y40" s="454"/>
      <c r="AA40" s="376"/>
      <c r="AB40" s="412"/>
      <c r="AC40" s="412"/>
      <c r="AD40" s="412"/>
      <c r="AE40" s="412"/>
      <c r="AF40" s="412"/>
      <c r="AH40" s="454"/>
      <c r="AJ40" s="488" t="s">
        <v>219</v>
      </c>
      <c r="AK40" s="115">
        <f>AK39/AK35</f>
        <v>483.22247237003683</v>
      </c>
      <c r="AL40" s="115">
        <f>AL39/AL35</f>
        <v>483.22247237003688</v>
      </c>
      <c r="AM40" s="371">
        <f>AM39/AM35</f>
        <v>483.22247237003683</v>
      </c>
      <c r="AN40" s="373">
        <f>AN39/AN35</f>
        <v>483.22247237003683</v>
      </c>
      <c r="AO40" s="115">
        <f>AO39/AO35</f>
        <v>483.22247237003683</v>
      </c>
      <c r="AQ40" s="205"/>
      <c r="AR40" s="205"/>
      <c r="AS40" s="412"/>
      <c r="AT40" s="412"/>
      <c r="AU40" s="426">
        <v>10</v>
      </c>
      <c r="AV40" s="422">
        <f>AN$40*$AU40</f>
        <v>4832.2247237003685</v>
      </c>
    </row>
    <row r="41" spans="1:48" s="83" customFormat="1" ht="19.5" thickBot="1" x14ac:dyDescent="0.35">
      <c r="A41" s="111"/>
      <c r="G41" s="111"/>
      <c r="H41" s="194"/>
      <c r="I41" s="469"/>
      <c r="J41" s="470"/>
      <c r="K41" s="470"/>
      <c r="L41" s="470"/>
      <c r="M41" s="470"/>
      <c r="N41" s="470"/>
      <c r="O41" s="470"/>
      <c r="P41" s="468"/>
      <c r="R41" s="205"/>
      <c r="S41" s="205"/>
      <c r="T41" s="412"/>
      <c r="U41" s="412"/>
      <c r="V41" s="462"/>
      <c r="W41" s="412"/>
      <c r="Y41" s="454"/>
      <c r="AA41" s="403" t="s">
        <v>153</v>
      </c>
      <c r="AB41" s="404" t="s">
        <v>6</v>
      </c>
      <c r="AC41" s="404" t="s">
        <v>67</v>
      </c>
      <c r="AD41" s="405" t="s">
        <v>68</v>
      </c>
      <c r="AE41" s="404" t="s">
        <v>69</v>
      </c>
      <c r="AF41" s="404" t="s">
        <v>70</v>
      </c>
      <c r="AH41" s="454"/>
      <c r="AJ41" s="376"/>
      <c r="AK41" s="372"/>
      <c r="AL41" s="372"/>
      <c r="AM41" s="372"/>
      <c r="AN41" s="372"/>
      <c r="AO41" s="372"/>
      <c r="AQ41" s="205"/>
      <c r="AR41" s="205"/>
      <c r="AS41" s="412"/>
      <c r="AT41" s="412"/>
      <c r="AU41" s="462"/>
      <c r="AV41" s="412"/>
    </row>
    <row r="42" spans="1:48" s="83" customFormat="1" x14ac:dyDescent="0.3">
      <c r="I42" s="384"/>
      <c r="J42" s="378"/>
      <c r="K42" s="378"/>
      <c r="L42" s="378"/>
      <c r="M42" s="378"/>
      <c r="N42" s="378"/>
      <c r="O42" s="137"/>
      <c r="P42" s="137"/>
      <c r="R42" s="451" t="s">
        <v>172</v>
      </c>
      <c r="S42" s="205"/>
      <c r="T42" s="205"/>
      <c r="U42" s="205"/>
      <c r="V42" s="205"/>
      <c r="W42" s="205"/>
      <c r="Y42" s="454"/>
      <c r="AA42" s="388" t="s">
        <v>154</v>
      </c>
      <c r="AB42" s="365"/>
      <c r="AC42" s="366">
        <v>2</v>
      </c>
      <c r="AD42" s="367">
        <v>1</v>
      </c>
      <c r="AE42" s="366">
        <f>1/3</f>
        <v>0.33333333333333331</v>
      </c>
      <c r="AF42" s="391">
        <f>1/6</f>
        <v>0.16666666666666666</v>
      </c>
      <c r="AH42" s="454"/>
      <c r="AJ42" s="376"/>
      <c r="AK42" s="412"/>
      <c r="AL42" s="412"/>
      <c r="AM42" s="412"/>
      <c r="AN42" s="412"/>
      <c r="AO42" s="412"/>
      <c r="AQ42" s="451" t="s">
        <v>198</v>
      </c>
      <c r="AR42" s="205"/>
      <c r="AS42" s="205"/>
      <c r="AT42" s="205"/>
      <c r="AU42" s="205"/>
      <c r="AV42" s="205"/>
    </row>
    <row r="43" spans="1:48" s="83" customFormat="1" x14ac:dyDescent="0.3">
      <c r="I43" s="403" t="s">
        <v>153</v>
      </c>
      <c r="J43" s="404" t="s">
        <v>6</v>
      </c>
      <c r="K43" s="404" t="s">
        <v>67</v>
      </c>
      <c r="L43" s="405" t="s">
        <v>68</v>
      </c>
      <c r="M43" s="404" t="s">
        <v>69</v>
      </c>
      <c r="N43" s="404" t="s">
        <v>70</v>
      </c>
      <c r="O43" s="137"/>
      <c r="P43" s="137"/>
      <c r="R43" s="452" t="s">
        <v>210</v>
      </c>
      <c r="S43" s="205"/>
      <c r="T43" s="205"/>
      <c r="U43" s="205"/>
      <c r="V43" s="205"/>
      <c r="W43" s="205"/>
      <c r="Y43" s="454"/>
      <c r="AA43" s="379" t="s">
        <v>156</v>
      </c>
      <c r="AB43" s="380">
        <f>SUM(AC43:AF43)</f>
        <v>28.187977554918817</v>
      </c>
      <c r="AC43" s="393">
        <f>AC34*2</f>
        <v>0.14326647564469913</v>
      </c>
      <c r="AD43" s="381">
        <f>AD34</f>
        <v>7.1752626552053487</v>
      </c>
      <c r="AE43" s="393">
        <f>AE34/3</f>
        <v>10.821195479146768</v>
      </c>
      <c r="AF43" s="389">
        <f>AF34/6</f>
        <v>10.048252944922</v>
      </c>
      <c r="AH43" s="454"/>
      <c r="AJ43" s="403" t="s">
        <v>153</v>
      </c>
      <c r="AK43" s="404" t="s">
        <v>6</v>
      </c>
      <c r="AL43" s="404" t="s">
        <v>67</v>
      </c>
      <c r="AM43" s="405" t="s">
        <v>68</v>
      </c>
      <c r="AN43" s="404" t="s">
        <v>69</v>
      </c>
      <c r="AO43" s="404" t="s">
        <v>70</v>
      </c>
      <c r="AQ43" s="205"/>
      <c r="AR43" s="205"/>
      <c r="AS43" s="205"/>
      <c r="AT43" s="205"/>
      <c r="AU43" s="205"/>
      <c r="AV43" s="205"/>
    </row>
    <row r="44" spans="1:48" s="83" customFormat="1" x14ac:dyDescent="0.3">
      <c r="I44" s="388" t="s">
        <v>154</v>
      </c>
      <c r="J44" s="365"/>
      <c r="K44" s="366">
        <v>2</v>
      </c>
      <c r="L44" s="367">
        <v>1</v>
      </c>
      <c r="M44" s="366">
        <f>1/3</f>
        <v>0.33333333333333331</v>
      </c>
      <c r="N44" s="391">
        <f>1/6</f>
        <v>0.16666666666666666</v>
      </c>
      <c r="O44" s="137"/>
      <c r="P44" s="137"/>
      <c r="R44" s="452" t="s">
        <v>211</v>
      </c>
      <c r="S44" s="205"/>
      <c r="T44" s="205"/>
      <c r="U44" s="205"/>
      <c r="V44" s="205"/>
      <c r="W44" s="205"/>
      <c r="Y44" s="454"/>
      <c r="AA44" s="377" t="s">
        <v>157</v>
      </c>
      <c r="AB44" s="392"/>
      <c r="AC44" s="392">
        <f>AC39</f>
        <v>1500</v>
      </c>
      <c r="AD44" s="390">
        <f>AD39</f>
        <v>1499.9999999999998</v>
      </c>
      <c r="AE44" s="392">
        <f>AE39*3</f>
        <v>4500</v>
      </c>
      <c r="AF44" s="390">
        <f>AF39*6</f>
        <v>8999.9999999999982</v>
      </c>
      <c r="AH44" s="454"/>
      <c r="AJ44" s="388" t="s">
        <v>154</v>
      </c>
      <c r="AK44" s="365"/>
      <c r="AL44" s="366">
        <v>2</v>
      </c>
      <c r="AM44" s="367">
        <v>1</v>
      </c>
      <c r="AN44" s="366">
        <f>1/3</f>
        <v>0.33333333333333331</v>
      </c>
      <c r="AO44" s="391">
        <f>1/6</f>
        <v>0.16666666666666666</v>
      </c>
      <c r="AQ44" s="205"/>
      <c r="AR44" s="205"/>
      <c r="AS44" s="205"/>
      <c r="AT44" s="205"/>
      <c r="AU44" s="205"/>
      <c r="AV44" s="205"/>
    </row>
    <row r="45" spans="1:48" s="83" customFormat="1" x14ac:dyDescent="0.3">
      <c r="I45" s="379" t="s">
        <v>156</v>
      </c>
      <c r="J45" s="380">
        <f>SUM(K45:N45)</f>
        <v>87.5</v>
      </c>
      <c r="K45" s="393">
        <f>K35*2</f>
        <v>50</v>
      </c>
      <c r="L45" s="381">
        <f>L35</f>
        <v>25</v>
      </c>
      <c r="M45" s="393">
        <f>M35/3</f>
        <v>8.3333333333333339</v>
      </c>
      <c r="N45" s="389">
        <f>N35/6</f>
        <v>4.166666666666667</v>
      </c>
      <c r="O45" s="137"/>
      <c r="P45" s="137"/>
      <c r="R45" s="205"/>
      <c r="S45" s="205"/>
      <c r="T45" s="205"/>
      <c r="U45" s="205"/>
      <c r="V45" s="205"/>
      <c r="W45" s="205"/>
      <c r="Y45" s="454"/>
      <c r="AA45" s="384"/>
      <c r="AB45" s="378"/>
      <c r="AC45" s="378"/>
      <c r="AD45" s="378"/>
      <c r="AE45" s="378"/>
      <c r="AF45" s="378"/>
      <c r="AH45" s="454"/>
      <c r="AJ45" s="379" t="s">
        <v>156</v>
      </c>
      <c r="AK45" s="380">
        <f>SUM(AL45:AO45)</f>
        <v>28.187977554918817</v>
      </c>
      <c r="AL45" s="393">
        <f>AL35*2</f>
        <v>0.14326647564469913</v>
      </c>
      <c r="AM45" s="381">
        <f>AM35</f>
        <v>7.1752626552053487</v>
      </c>
      <c r="AN45" s="393">
        <f>AN35/3</f>
        <v>10.821195479146768</v>
      </c>
      <c r="AO45" s="389">
        <f>AO35/6</f>
        <v>10.048252944922</v>
      </c>
      <c r="AQ45" s="205"/>
      <c r="AR45" s="205"/>
      <c r="AS45" s="205"/>
      <c r="AT45" s="205"/>
      <c r="AU45" s="205"/>
      <c r="AV45" s="205"/>
    </row>
    <row r="46" spans="1:48" s="83" customFormat="1" x14ac:dyDescent="0.3">
      <c r="I46" s="377" t="s">
        <v>157</v>
      </c>
      <c r="J46" s="392"/>
      <c r="K46" s="392">
        <f>K40</f>
        <v>1500</v>
      </c>
      <c r="L46" s="390">
        <f>L40</f>
        <v>1500</v>
      </c>
      <c r="M46" s="392">
        <f>M40*3</f>
        <v>4500</v>
      </c>
      <c r="N46" s="390">
        <f>N40*6</f>
        <v>9000</v>
      </c>
      <c r="O46" s="137"/>
      <c r="P46" s="137"/>
      <c r="R46" s="205"/>
      <c r="S46" s="205"/>
      <c r="T46" s="205"/>
      <c r="U46" s="205"/>
      <c r="V46" s="205"/>
      <c r="W46" s="205"/>
      <c r="Y46" s="454"/>
      <c r="AA46" s="451" t="s">
        <v>215</v>
      </c>
      <c r="AH46" s="454"/>
      <c r="AJ46" s="377" t="s">
        <v>157</v>
      </c>
      <c r="AK46" s="392"/>
      <c r="AL46" s="392">
        <f>AL40</f>
        <v>483.22247237003688</v>
      </c>
      <c r="AM46" s="390">
        <f>AM40</f>
        <v>483.22247237003683</v>
      </c>
      <c r="AN46" s="392">
        <f>AN40*3</f>
        <v>1449.6674171101104</v>
      </c>
      <c r="AO46" s="390">
        <f>AO40*6</f>
        <v>2899.3348342202207</v>
      </c>
      <c r="AQ46" s="205"/>
      <c r="AR46" s="205"/>
      <c r="AS46" s="205"/>
      <c r="AT46" s="205"/>
      <c r="AU46" s="205"/>
      <c r="AV46" s="205"/>
    </row>
    <row r="47" spans="1:48" s="83" customFormat="1" x14ac:dyDescent="0.3">
      <c r="R47" s="205"/>
      <c r="S47" s="205"/>
      <c r="T47" s="205"/>
      <c r="U47" s="205"/>
      <c r="V47" s="205"/>
      <c r="W47" s="205"/>
      <c r="Y47" s="454"/>
      <c r="AA47" s="452" t="s">
        <v>214</v>
      </c>
      <c r="AH47" s="454"/>
    </row>
    <row r="48" spans="1:48" s="83" customFormat="1" x14ac:dyDescent="0.3">
      <c r="I48" s="451" t="s">
        <v>199</v>
      </c>
      <c r="S48" s="205"/>
      <c r="T48" s="205"/>
      <c r="U48" s="205"/>
      <c r="V48" s="205"/>
      <c r="W48" s="205"/>
      <c r="Y48" s="454"/>
      <c r="AA48" s="452" t="s">
        <v>213</v>
      </c>
      <c r="AH48" s="454"/>
      <c r="AJ48" s="451" t="s">
        <v>181</v>
      </c>
    </row>
    <row r="49" spans="1:48" s="83" customFormat="1" x14ac:dyDescent="0.3">
      <c r="I49" s="451" t="s">
        <v>204</v>
      </c>
      <c r="R49" s="205"/>
      <c r="S49" s="205"/>
      <c r="T49" s="205"/>
      <c r="U49" s="205"/>
      <c r="V49" s="205"/>
      <c r="W49" s="205"/>
      <c r="Y49" s="454"/>
      <c r="AA49" s="452" t="s">
        <v>185</v>
      </c>
      <c r="AH49" s="454"/>
      <c r="AJ49" s="452" t="s">
        <v>214</v>
      </c>
    </row>
    <row r="50" spans="1:48" s="83" customFormat="1" x14ac:dyDescent="0.3">
      <c r="I50" s="451" t="s">
        <v>205</v>
      </c>
      <c r="R50" s="205"/>
      <c r="S50" s="205"/>
      <c r="T50" s="205"/>
      <c r="U50" s="205"/>
      <c r="V50" s="205"/>
      <c r="W50" s="205"/>
      <c r="Y50" s="454"/>
      <c r="AH50" s="454"/>
      <c r="AJ50" s="452" t="s">
        <v>220</v>
      </c>
    </row>
    <row r="51" spans="1:48" s="83" customFormat="1" ht="19.5" thickBot="1" x14ac:dyDescent="0.35">
      <c r="I51" s="452" t="s">
        <v>206</v>
      </c>
      <c r="R51" s="205"/>
      <c r="S51" s="205"/>
      <c r="T51" s="205"/>
      <c r="U51" s="205"/>
      <c r="V51" s="205"/>
      <c r="W51" s="205"/>
      <c r="Y51" s="454"/>
      <c r="AH51" s="454"/>
      <c r="AJ51" s="452" t="s">
        <v>222</v>
      </c>
    </row>
    <row r="52" spans="1:48" s="83" customFormat="1" ht="19.5" thickBot="1" x14ac:dyDescent="0.35">
      <c r="I52" s="452" t="s">
        <v>207</v>
      </c>
      <c r="R52" s="205"/>
      <c r="S52" s="205"/>
      <c r="T52" s="205"/>
      <c r="U52" s="205"/>
      <c r="V52" s="205"/>
      <c r="W52" s="205"/>
      <c r="Y52" s="454"/>
      <c r="AA52" s="478" t="s">
        <v>174</v>
      </c>
      <c r="AB52" s="479"/>
      <c r="AC52" s="479"/>
      <c r="AD52" s="479"/>
      <c r="AE52" s="479"/>
      <c r="AF52" s="480"/>
      <c r="AH52" s="454"/>
      <c r="AJ52" s="452" t="s">
        <v>223</v>
      </c>
    </row>
    <row r="53" spans="1:48" s="83" customFormat="1" x14ac:dyDescent="0.3">
      <c r="I53" s="384"/>
      <c r="J53" s="378"/>
      <c r="K53" s="378"/>
      <c r="L53" s="378"/>
      <c r="M53" s="378"/>
      <c r="N53" s="378"/>
      <c r="O53" s="137"/>
      <c r="P53" s="137"/>
      <c r="R53" s="205"/>
      <c r="S53" s="205"/>
      <c r="T53" s="205"/>
      <c r="U53" s="205"/>
      <c r="V53" s="205"/>
      <c r="W53" s="205"/>
      <c r="Y53" s="454"/>
      <c r="AH53" s="454"/>
      <c r="AJ53" s="452" t="s">
        <v>224</v>
      </c>
      <c r="AR53" s="205"/>
      <c r="AS53" s="205"/>
      <c r="AT53" s="205"/>
      <c r="AU53" s="205"/>
      <c r="AV53" s="205"/>
    </row>
    <row r="54" spans="1:48" s="114" customFormat="1" x14ac:dyDescent="0.3">
      <c r="G54" s="83"/>
      <c r="H54" s="83"/>
      <c r="I54" s="384"/>
      <c r="J54" s="378"/>
      <c r="K54" s="83"/>
      <c r="L54" s="83"/>
      <c r="M54" s="83"/>
      <c r="N54" s="83"/>
      <c r="O54" s="137"/>
      <c r="P54" s="137"/>
      <c r="Q54" s="83"/>
      <c r="R54" s="205"/>
      <c r="S54" s="205"/>
      <c r="T54" s="205"/>
      <c r="U54" s="205"/>
      <c r="V54" s="205"/>
      <c r="W54" s="205"/>
      <c r="X54" s="83"/>
      <c r="Y54" s="454"/>
      <c r="Z54" s="83"/>
      <c r="AA54" s="39"/>
      <c r="AB54" s="441" t="s">
        <v>6</v>
      </c>
      <c r="AC54" s="441" t="s">
        <v>67</v>
      </c>
      <c r="AD54" s="416" t="s">
        <v>68</v>
      </c>
      <c r="AE54" s="441" t="s">
        <v>69</v>
      </c>
      <c r="AF54" s="441" t="s">
        <v>70</v>
      </c>
      <c r="AG54" s="1"/>
      <c r="AH54" s="454"/>
      <c r="AI54" s="83"/>
      <c r="AJ54" s="1"/>
      <c r="AK54" s="83"/>
      <c r="AL54" s="83"/>
      <c r="AM54" s="83"/>
      <c r="AN54" s="83"/>
      <c r="AO54" s="83"/>
      <c r="AP54" s="83"/>
      <c r="AQ54" s="83"/>
      <c r="AR54" s="205"/>
      <c r="AS54" s="205"/>
      <c r="AT54" s="205"/>
      <c r="AU54" s="205"/>
      <c r="AV54" s="205"/>
    </row>
    <row r="55" spans="1:48" s="114" customFormat="1" x14ac:dyDescent="0.3">
      <c r="A55" s="413"/>
      <c r="G55" s="83"/>
      <c r="H55" s="83"/>
      <c r="I55" s="384"/>
      <c r="J55" s="378"/>
      <c r="K55" s="83"/>
      <c r="L55" s="83"/>
      <c r="M55" s="83"/>
      <c r="N55" s="83"/>
      <c r="O55" s="137"/>
      <c r="P55" s="137"/>
      <c r="Q55" s="83"/>
      <c r="R55" s="205"/>
      <c r="S55" s="205"/>
      <c r="T55" s="205"/>
      <c r="U55" s="205"/>
      <c r="V55" s="205"/>
      <c r="W55" s="205"/>
      <c r="X55" s="83"/>
      <c r="Y55" s="454"/>
      <c r="Z55" s="83"/>
      <c r="AA55" s="442" t="s">
        <v>168</v>
      </c>
      <c r="AB55" s="443">
        <f>SUM(AC55:AF55)</f>
        <v>100</v>
      </c>
      <c r="AC55" s="443">
        <f>K12</f>
        <v>25</v>
      </c>
      <c r="AD55" s="443">
        <f>L12</f>
        <v>25</v>
      </c>
      <c r="AE55" s="443">
        <f>M12</f>
        <v>25</v>
      </c>
      <c r="AF55" s="443">
        <f>N12</f>
        <v>25</v>
      </c>
      <c r="AG55" s="1"/>
      <c r="AH55" s="454"/>
      <c r="AI55" s="83"/>
      <c r="AK55" s="83"/>
      <c r="AL55" s="83"/>
      <c r="AM55" s="83"/>
      <c r="AN55" s="83"/>
      <c r="AO55" s="83"/>
      <c r="AP55" s="83"/>
      <c r="AQ55" s="83"/>
      <c r="AR55" s="205"/>
      <c r="AS55" s="205"/>
      <c r="AT55" s="205"/>
      <c r="AU55" s="205"/>
      <c r="AV55" s="205"/>
    </row>
    <row r="56" spans="1:48" s="114" customFormat="1" x14ac:dyDescent="0.3">
      <c r="A56" s="413"/>
      <c r="G56" s="83"/>
      <c r="H56" s="83"/>
      <c r="I56" s="384"/>
      <c r="J56" s="378"/>
      <c r="K56" s="83"/>
      <c r="L56" s="83"/>
      <c r="M56" s="83"/>
      <c r="N56" s="83"/>
      <c r="O56" s="137"/>
      <c r="P56" s="137"/>
      <c r="Q56" s="83"/>
      <c r="R56" s="205"/>
      <c r="S56" s="205"/>
      <c r="T56" s="205"/>
      <c r="U56" s="205"/>
      <c r="V56" s="205"/>
      <c r="W56" s="205"/>
      <c r="X56" s="83"/>
      <c r="Y56" s="454"/>
      <c r="Z56" s="83"/>
      <c r="AA56" s="444" t="s">
        <v>160</v>
      </c>
      <c r="AB56" s="445">
        <f>SUM(AC56:AF56)</f>
        <v>87.5</v>
      </c>
      <c r="AC56" s="445">
        <f>AC55*AC$65</f>
        <v>50</v>
      </c>
      <c r="AD56" s="445">
        <f>AD55*AD$65</f>
        <v>25</v>
      </c>
      <c r="AE56" s="445">
        <f>AE55*AE$65</f>
        <v>8.3333333333333321</v>
      </c>
      <c r="AF56" s="445">
        <f>AF55*AF$65</f>
        <v>4.1666666666666661</v>
      </c>
      <c r="AG56" s="1"/>
      <c r="AH56" s="454"/>
      <c r="AI56" s="83"/>
      <c r="AK56" s="83"/>
      <c r="AL56" s="83"/>
      <c r="AM56" s="83"/>
      <c r="AN56" s="83"/>
      <c r="AO56" s="83"/>
      <c r="AP56" s="83"/>
      <c r="AQ56" s="83"/>
      <c r="AR56" s="205"/>
      <c r="AS56" s="205"/>
      <c r="AT56" s="205"/>
      <c r="AU56" s="205"/>
      <c r="AV56" s="205"/>
    </row>
    <row r="57" spans="1:48" s="114" customFormat="1" x14ac:dyDescent="0.3">
      <c r="A57" s="413"/>
      <c r="G57" s="83"/>
      <c r="H57" s="83"/>
      <c r="I57" s="83"/>
      <c r="J57" s="83"/>
      <c r="K57" s="83"/>
      <c r="L57" s="83"/>
      <c r="M57" s="83"/>
      <c r="N57" s="83"/>
      <c r="O57" s="1"/>
      <c r="P57" s="1"/>
      <c r="Q57" s="83"/>
      <c r="R57" s="205"/>
      <c r="S57" s="205"/>
      <c r="T57" s="205"/>
      <c r="U57" s="205"/>
      <c r="V57" s="205"/>
      <c r="W57" s="205"/>
      <c r="X57" s="83"/>
      <c r="Y57" s="454"/>
      <c r="Z57" s="83"/>
      <c r="AA57" s="442" t="s">
        <v>170</v>
      </c>
      <c r="AB57" s="443">
        <f>J13</f>
        <v>60000</v>
      </c>
      <c r="AC57" s="443">
        <f>K13</f>
        <v>34285.714285714283</v>
      </c>
      <c r="AD57" s="443">
        <f>L13</f>
        <v>17142.857142857141</v>
      </c>
      <c r="AE57" s="443">
        <f>M13</f>
        <v>5714.2857142857147</v>
      </c>
      <c r="AF57" s="443">
        <f>N13</f>
        <v>2857.1428571428573</v>
      </c>
      <c r="AG57" s="1"/>
      <c r="AH57" s="454"/>
      <c r="AI57" s="83"/>
      <c r="AK57" s="83"/>
      <c r="AL57" s="83"/>
      <c r="AM57" s="83"/>
      <c r="AN57" s="83"/>
      <c r="AO57" s="83"/>
      <c r="AP57" s="83"/>
      <c r="AQ57" s="83"/>
      <c r="AR57" s="205"/>
      <c r="AS57" s="205"/>
      <c r="AT57" s="205"/>
      <c r="AU57" s="205"/>
      <c r="AV57" s="205"/>
    </row>
    <row r="58" spans="1:48" s="114" customFormat="1" x14ac:dyDescent="0.3">
      <c r="A58" s="413"/>
      <c r="G58" s="83"/>
      <c r="H58" s="83"/>
      <c r="I58" s="83"/>
      <c r="J58" s="83"/>
      <c r="K58" s="83"/>
      <c r="L58" s="83"/>
      <c r="M58" s="83"/>
      <c r="N58" s="83"/>
      <c r="O58" s="83"/>
      <c r="P58" s="83"/>
      <c r="Q58" s="83"/>
      <c r="R58" s="205"/>
      <c r="S58" s="205"/>
      <c r="T58" s="205"/>
      <c r="U58" s="205"/>
      <c r="V58" s="205"/>
      <c r="W58" s="205"/>
      <c r="X58" s="83"/>
      <c r="Y58" s="454"/>
      <c r="Z58" s="83"/>
      <c r="AA58" s="444" t="s">
        <v>171</v>
      </c>
      <c r="AB58" s="484">
        <f>AB57/AB56</f>
        <v>685.71428571428567</v>
      </c>
      <c r="AC58" s="484">
        <f t="shared" ref="AC58:AF58" si="8">AC57/AC56</f>
        <v>685.71428571428567</v>
      </c>
      <c r="AD58" s="484">
        <f t="shared" si="8"/>
        <v>685.71428571428567</v>
      </c>
      <c r="AE58" s="484">
        <f t="shared" si="8"/>
        <v>685.71428571428589</v>
      </c>
      <c r="AF58" s="484">
        <f t="shared" si="8"/>
        <v>685.71428571428589</v>
      </c>
      <c r="AG58" s="1"/>
      <c r="AH58" s="454"/>
      <c r="AI58" s="83"/>
      <c r="AK58" s="83"/>
      <c r="AL58" s="83"/>
      <c r="AM58" s="83"/>
      <c r="AN58" s="83"/>
      <c r="AO58" s="83"/>
      <c r="AP58" s="83"/>
      <c r="AQ58" s="83"/>
      <c r="AR58" s="205"/>
      <c r="AS58" s="205"/>
      <c r="AT58" s="205"/>
      <c r="AU58" s="205"/>
      <c r="AV58" s="205"/>
    </row>
    <row r="59" spans="1:48" s="114" customFormat="1" x14ac:dyDescent="0.3">
      <c r="A59" s="413"/>
      <c r="G59" s="83"/>
      <c r="H59" s="83"/>
      <c r="I59" s="83"/>
      <c r="J59" s="83"/>
      <c r="K59" s="83"/>
      <c r="L59" s="83"/>
      <c r="M59" s="83"/>
      <c r="N59" s="83"/>
      <c r="O59" s="83"/>
      <c r="P59" s="83"/>
      <c r="Q59" s="83"/>
      <c r="R59" s="205"/>
      <c r="S59" s="205"/>
      <c r="T59" s="205"/>
      <c r="U59" s="205"/>
      <c r="V59" s="205"/>
      <c r="W59" s="205"/>
      <c r="X59" s="83"/>
      <c r="Y59" s="454"/>
      <c r="Z59" s="83"/>
      <c r="AA59" s="39"/>
      <c r="AB59" s="39"/>
      <c r="AC59" s="39"/>
      <c r="AD59" s="39"/>
      <c r="AE59" s="39"/>
      <c r="AF59" s="39"/>
      <c r="AG59" s="1"/>
      <c r="AH59" s="454"/>
      <c r="AI59" s="83"/>
      <c r="AK59" s="83"/>
      <c r="AL59" s="83"/>
      <c r="AM59" s="83"/>
      <c r="AN59" s="83"/>
      <c r="AO59" s="83"/>
      <c r="AP59" s="83"/>
      <c r="AQ59" s="83"/>
      <c r="AR59" s="205"/>
      <c r="AS59" s="205"/>
      <c r="AT59" s="205"/>
      <c r="AU59" s="205"/>
      <c r="AV59" s="205"/>
    </row>
    <row r="60" spans="1:48" s="114" customFormat="1" x14ac:dyDescent="0.3">
      <c r="A60" s="413"/>
      <c r="R60" s="205"/>
      <c r="S60" s="205"/>
      <c r="T60" s="205"/>
      <c r="U60" s="205"/>
      <c r="V60" s="205"/>
      <c r="W60" s="205"/>
      <c r="Y60" s="455"/>
      <c r="AA60" s="450" t="s">
        <v>169</v>
      </c>
      <c r="AB60" s="489">
        <f>SUM(AC60:AF60)</f>
        <v>100</v>
      </c>
      <c r="AC60" s="490">
        <v>7.1633237822349566E-2</v>
      </c>
      <c r="AD60" s="491">
        <v>7.1752626552053487</v>
      </c>
      <c r="AE60" s="490">
        <v>32.463586437440306</v>
      </c>
      <c r="AF60" s="490">
        <v>60.289517669532003</v>
      </c>
      <c r="AG60" s="1"/>
      <c r="AH60" s="455"/>
      <c r="AK60" s="83"/>
      <c r="AL60" s="83"/>
      <c r="AM60" s="83"/>
      <c r="AN60" s="83"/>
      <c r="AO60" s="83"/>
      <c r="AP60" s="83"/>
      <c r="AQ60" s="83"/>
      <c r="AR60" s="205"/>
      <c r="AS60" s="205"/>
      <c r="AT60" s="205"/>
      <c r="AU60" s="205"/>
      <c r="AV60" s="205"/>
    </row>
    <row r="61" spans="1:48" s="114" customFormat="1" x14ac:dyDescent="0.3">
      <c r="A61" s="413"/>
      <c r="R61" s="205"/>
      <c r="S61" s="205"/>
      <c r="T61" s="205"/>
      <c r="U61" s="205"/>
      <c r="V61" s="205"/>
      <c r="W61" s="205"/>
      <c r="Y61" s="455"/>
      <c r="AA61" s="48" t="s">
        <v>160</v>
      </c>
      <c r="AB61" s="445">
        <f>SUM(AC61:AF61)</f>
        <v>28.187977554918817</v>
      </c>
      <c r="AC61" s="485">
        <f>AC60*AC$65</f>
        <v>0.14326647564469913</v>
      </c>
      <c r="AD61" s="485">
        <f>AD60*AD$65</f>
        <v>7.1752626552053487</v>
      </c>
      <c r="AE61" s="485">
        <f>AE60*AE$65</f>
        <v>10.821195479146768</v>
      </c>
      <c r="AF61" s="485">
        <f>AF60*AF$65</f>
        <v>10.048252944922</v>
      </c>
      <c r="AG61" s="1"/>
      <c r="AH61" s="455"/>
      <c r="AK61" s="83"/>
      <c r="AL61" s="83"/>
      <c r="AM61" s="83"/>
      <c r="AN61" s="83"/>
      <c r="AO61" s="83"/>
      <c r="AP61" s="83"/>
      <c r="AQ61" s="83"/>
      <c r="AR61" s="205"/>
      <c r="AS61" s="205"/>
      <c r="AT61" s="205"/>
      <c r="AU61" s="205"/>
      <c r="AV61" s="205"/>
    </row>
    <row r="62" spans="1:48" s="114" customFormat="1" x14ac:dyDescent="0.3">
      <c r="R62" s="205"/>
      <c r="S62" s="205"/>
      <c r="T62" s="205"/>
      <c r="U62" s="205"/>
      <c r="V62" s="205"/>
      <c r="W62" s="205"/>
      <c r="Y62" s="455"/>
      <c r="AA62" s="446" t="s">
        <v>170</v>
      </c>
      <c r="AB62" s="447">
        <f>AB61*AB63</f>
        <v>19328.898894801474</v>
      </c>
      <c r="AC62" s="447">
        <f t="shared" ref="AC62:AF62" si="9">AC61*AC63</f>
        <v>98.23986901350797</v>
      </c>
      <c r="AD62" s="447">
        <f t="shared" si="9"/>
        <v>4920.1801064265246</v>
      </c>
      <c r="AE62" s="447">
        <f t="shared" si="9"/>
        <v>7420.2483285577855</v>
      </c>
      <c r="AF62" s="447">
        <f t="shared" si="9"/>
        <v>6890.2305908036587</v>
      </c>
      <c r="AG62" s="1"/>
      <c r="AH62" s="455"/>
      <c r="AK62" s="83"/>
      <c r="AL62" s="83"/>
      <c r="AM62" s="83"/>
      <c r="AN62" s="83"/>
      <c r="AO62" s="83"/>
      <c r="AP62" s="83"/>
      <c r="AQ62" s="83"/>
      <c r="AR62" s="205"/>
      <c r="AS62" s="205"/>
      <c r="AT62" s="205"/>
      <c r="AU62" s="205"/>
      <c r="AV62" s="205"/>
    </row>
    <row r="63" spans="1:48" s="83" customFormat="1" x14ac:dyDescent="0.3">
      <c r="G63" s="114"/>
      <c r="H63" s="114"/>
      <c r="I63" s="114"/>
      <c r="J63" s="114"/>
      <c r="K63" s="114"/>
      <c r="L63" s="114"/>
      <c r="M63" s="114"/>
      <c r="N63" s="114"/>
      <c r="O63" s="114"/>
      <c r="P63" s="114"/>
      <c r="Q63" s="114"/>
      <c r="R63" s="205"/>
      <c r="S63" s="205"/>
      <c r="T63" s="205"/>
      <c r="U63" s="205"/>
      <c r="V63" s="205"/>
      <c r="W63" s="205"/>
      <c r="X63" s="114"/>
      <c r="Y63" s="455"/>
      <c r="Z63" s="114"/>
      <c r="AA63" s="444" t="s">
        <v>171</v>
      </c>
      <c r="AB63" s="492">
        <f>AB58</f>
        <v>685.71428571428567</v>
      </c>
      <c r="AC63" s="492">
        <f t="shared" ref="AC63:AF63" si="10">AC58</f>
        <v>685.71428571428567</v>
      </c>
      <c r="AD63" s="492">
        <f t="shared" si="10"/>
        <v>685.71428571428567</v>
      </c>
      <c r="AE63" s="492">
        <f t="shared" si="10"/>
        <v>685.71428571428589</v>
      </c>
      <c r="AF63" s="492">
        <f t="shared" si="10"/>
        <v>685.71428571428589</v>
      </c>
      <c r="AG63" s="1"/>
      <c r="AH63" s="455"/>
      <c r="AI63" s="114"/>
      <c r="AJ63" s="114"/>
      <c r="AR63" s="205"/>
      <c r="AS63" s="205"/>
      <c r="AT63" s="205"/>
      <c r="AU63" s="205"/>
      <c r="AV63" s="205"/>
    </row>
    <row r="64" spans="1:48" s="83" customFormat="1" x14ac:dyDescent="0.3">
      <c r="G64" s="114"/>
      <c r="H64" s="114"/>
      <c r="I64" s="114"/>
      <c r="J64" s="114"/>
      <c r="K64" s="114"/>
      <c r="L64" s="114"/>
      <c r="M64" s="114"/>
      <c r="N64" s="114"/>
      <c r="O64" s="114"/>
      <c r="P64" s="114"/>
      <c r="Q64" s="114"/>
      <c r="R64" s="205"/>
      <c r="S64" s="205"/>
      <c r="T64" s="205"/>
      <c r="U64" s="205"/>
      <c r="V64" s="205"/>
      <c r="W64" s="205"/>
      <c r="X64" s="114"/>
      <c r="Y64" s="455"/>
      <c r="Z64" s="114"/>
      <c r="AA64" s="39"/>
      <c r="AB64" s="39"/>
      <c r="AC64" s="39"/>
      <c r="AD64" s="39"/>
      <c r="AE64" s="39"/>
      <c r="AF64" s="39"/>
      <c r="AH64" s="455"/>
      <c r="AI64" s="114"/>
      <c r="AJ64" s="114"/>
      <c r="AR64" s="205"/>
      <c r="AS64" s="205"/>
      <c r="AT64" s="205"/>
      <c r="AU64" s="205"/>
      <c r="AV64" s="205"/>
    </row>
    <row r="65" spans="7:48" s="83" customFormat="1" x14ac:dyDescent="0.3">
      <c r="G65" s="114"/>
      <c r="H65" s="114"/>
      <c r="I65" s="114"/>
      <c r="J65" s="114"/>
      <c r="K65" s="114"/>
      <c r="L65" s="114"/>
      <c r="M65" s="114"/>
      <c r="N65" s="114"/>
      <c r="O65" s="114"/>
      <c r="P65" s="114"/>
      <c r="Q65" s="114"/>
      <c r="R65" s="205"/>
      <c r="S65" s="205"/>
      <c r="T65" s="205"/>
      <c r="U65" s="205"/>
      <c r="V65" s="205"/>
      <c r="W65" s="205"/>
      <c r="X65" s="114"/>
      <c r="Y65" s="455"/>
      <c r="Z65" s="114"/>
      <c r="AA65" s="48" t="s">
        <v>154</v>
      </c>
      <c r="AB65" s="448"/>
      <c r="AC65" s="449">
        <v>2</v>
      </c>
      <c r="AD65" s="449">
        <v>1</v>
      </c>
      <c r="AE65" s="449">
        <f>1/3</f>
        <v>0.33333333333333331</v>
      </c>
      <c r="AF65" s="449">
        <f>1/6</f>
        <v>0.16666666666666666</v>
      </c>
      <c r="AH65" s="455"/>
      <c r="AI65" s="114"/>
      <c r="AJ65" s="114"/>
      <c r="AK65" s="114"/>
      <c r="AL65" s="114"/>
      <c r="AM65" s="114"/>
      <c r="AN65" s="114"/>
      <c r="AO65" s="204"/>
      <c r="AP65" s="114"/>
      <c r="AQ65" s="205"/>
      <c r="AR65" s="205"/>
      <c r="AS65" s="205"/>
      <c r="AT65" s="205"/>
      <c r="AU65" s="205"/>
      <c r="AV65" s="205"/>
    </row>
    <row r="66" spans="7:48" s="83" customFormat="1" x14ac:dyDescent="0.3">
      <c r="G66" s="114"/>
      <c r="H66" s="114"/>
      <c r="I66" s="114"/>
      <c r="J66" s="114"/>
      <c r="K66" s="114"/>
      <c r="L66" s="114"/>
      <c r="M66" s="114"/>
      <c r="N66" s="114"/>
      <c r="O66" s="114"/>
      <c r="P66" s="114"/>
      <c r="Q66" s="114"/>
      <c r="R66" s="205"/>
      <c r="S66" s="205"/>
      <c r="T66" s="205"/>
      <c r="U66" s="205"/>
      <c r="V66" s="205"/>
      <c r="W66" s="205"/>
      <c r="X66" s="114"/>
      <c r="Y66" s="455"/>
      <c r="Z66" s="114"/>
      <c r="AA66" s="114"/>
      <c r="AH66" s="455"/>
      <c r="AI66" s="114"/>
      <c r="AJ66" s="114"/>
      <c r="AK66" s="114"/>
      <c r="AL66" s="114"/>
      <c r="AM66" s="114"/>
      <c r="AN66" s="114"/>
      <c r="AO66" s="204"/>
      <c r="AP66" s="114"/>
      <c r="AQ66" s="205"/>
      <c r="AR66" s="205"/>
      <c r="AS66" s="205"/>
      <c r="AT66" s="205"/>
      <c r="AU66" s="205"/>
      <c r="AV66" s="205"/>
    </row>
    <row r="67" spans="7:48" s="83" customFormat="1" x14ac:dyDescent="0.3">
      <c r="G67" s="114"/>
      <c r="H67" s="114"/>
      <c r="I67" s="114"/>
      <c r="J67" s="114"/>
      <c r="K67" s="114"/>
      <c r="L67" s="114"/>
      <c r="M67" s="114"/>
      <c r="N67" s="114"/>
      <c r="O67" s="114"/>
      <c r="P67" s="114"/>
      <c r="Q67" s="114"/>
      <c r="R67" s="205"/>
      <c r="S67" s="205"/>
      <c r="T67" s="205"/>
      <c r="U67" s="205"/>
      <c r="V67" s="205"/>
      <c r="W67" s="205"/>
      <c r="X67" s="114"/>
      <c r="Y67" s="455"/>
      <c r="Z67" s="114"/>
      <c r="AH67" s="455"/>
      <c r="AI67" s="114"/>
      <c r="AJ67" s="114"/>
      <c r="AK67" s="114"/>
      <c r="AL67" s="114"/>
      <c r="AM67" s="114"/>
      <c r="AN67" s="114"/>
      <c r="AO67" s="204"/>
      <c r="AP67" s="114"/>
      <c r="AQ67" s="205"/>
      <c r="AR67" s="205"/>
      <c r="AS67" s="205"/>
      <c r="AT67" s="205"/>
      <c r="AU67" s="205"/>
      <c r="AV67" s="205"/>
    </row>
    <row r="68" spans="7:48" s="83" customFormat="1" x14ac:dyDescent="0.3">
      <c r="G68" s="114"/>
      <c r="H68" s="114"/>
      <c r="I68" s="114"/>
      <c r="J68" s="114"/>
      <c r="K68" s="114"/>
      <c r="L68" s="114"/>
      <c r="M68" s="114"/>
      <c r="N68" s="114"/>
      <c r="O68" s="114"/>
      <c r="P68" s="114"/>
      <c r="Q68" s="114"/>
      <c r="R68" s="205"/>
      <c r="S68" s="205"/>
      <c r="T68" s="205"/>
      <c r="U68" s="205"/>
      <c r="V68" s="205"/>
      <c r="W68" s="205"/>
      <c r="X68" s="114"/>
      <c r="Y68" s="455"/>
      <c r="Z68" s="114"/>
      <c r="AA68" s="451" t="s">
        <v>175</v>
      </c>
      <c r="AH68" s="455"/>
      <c r="AI68" s="114"/>
      <c r="AJ68" s="114"/>
      <c r="AK68" s="114"/>
      <c r="AL68" s="114"/>
      <c r="AM68" s="114"/>
      <c r="AN68" s="114"/>
      <c r="AO68" s="204"/>
      <c r="AP68" s="114"/>
      <c r="AQ68" s="205"/>
      <c r="AR68" s="205"/>
      <c r="AS68" s="205"/>
      <c r="AT68" s="205"/>
      <c r="AU68" s="205"/>
      <c r="AV68" s="205"/>
    </row>
    <row r="69" spans="7:48" s="83" customFormat="1" x14ac:dyDescent="0.3">
      <c r="R69" s="205"/>
      <c r="S69" s="205"/>
      <c r="T69" s="205"/>
      <c r="U69" s="205"/>
      <c r="V69" s="205"/>
      <c r="W69" s="205"/>
      <c r="Y69" s="454"/>
      <c r="AA69" s="452" t="s">
        <v>216</v>
      </c>
      <c r="AH69" s="454"/>
      <c r="AO69" s="1"/>
      <c r="AQ69" s="205"/>
      <c r="AR69" s="205"/>
      <c r="AS69" s="205"/>
      <c r="AT69" s="205"/>
      <c r="AU69" s="205"/>
      <c r="AV69" s="205"/>
    </row>
    <row r="70" spans="7:48" s="83" customFormat="1" x14ac:dyDescent="0.3">
      <c r="R70" s="205"/>
      <c r="S70" s="205"/>
      <c r="T70" s="205"/>
      <c r="U70" s="205"/>
      <c r="V70" s="205"/>
      <c r="W70" s="205"/>
      <c r="Y70" s="454"/>
      <c r="AA70" s="452" t="s">
        <v>176</v>
      </c>
      <c r="AH70" s="454"/>
      <c r="AO70" s="1"/>
      <c r="AQ70" s="205"/>
      <c r="AR70" s="205"/>
      <c r="AS70" s="205"/>
      <c r="AT70" s="205"/>
      <c r="AU70" s="205"/>
      <c r="AV70" s="205"/>
    </row>
    <row r="71" spans="7:48" s="83" customFormat="1" x14ac:dyDescent="0.3">
      <c r="R71" s="205"/>
      <c r="S71" s="205"/>
      <c r="T71" s="205"/>
      <c r="U71" s="205"/>
      <c r="V71" s="205"/>
      <c r="W71" s="205"/>
      <c r="Y71" s="454"/>
      <c r="AA71" s="452" t="s">
        <v>217</v>
      </c>
      <c r="AH71" s="454"/>
      <c r="AO71" s="1"/>
      <c r="AQ71" s="205"/>
      <c r="AR71" s="205"/>
      <c r="AS71" s="205"/>
      <c r="AT71" s="205"/>
      <c r="AU71" s="205"/>
      <c r="AV71" s="205"/>
    </row>
    <row r="72" spans="7:48" x14ac:dyDescent="0.3">
      <c r="AG72" s="83"/>
    </row>
    <row r="73" spans="7:48" x14ac:dyDescent="0.3">
      <c r="AG73" s="83"/>
    </row>
    <row r="74" spans="7:48" x14ac:dyDescent="0.3">
      <c r="AG74" s="83"/>
    </row>
    <row r="75" spans="7:48" x14ac:dyDescent="0.3">
      <c r="AG75" s="83"/>
    </row>
    <row r="76" spans="7:48" x14ac:dyDescent="0.3">
      <c r="AG76" s="83"/>
    </row>
    <row r="77" spans="7:48" x14ac:dyDescent="0.3">
      <c r="AG77" s="8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DBBC2B-31AE-46DF-8B95-FA433130E119}"/>
</file>

<file path=customXml/itemProps2.xml><?xml version="1.0" encoding="utf-8"?>
<ds:datastoreItem xmlns:ds="http://schemas.openxmlformats.org/officeDocument/2006/customXml" ds:itemID="{18E6514F-43CD-4DFE-9A81-1143F57E0259}"/>
</file>

<file path=customXml/itemProps3.xml><?xml version="1.0" encoding="utf-8"?>
<ds:datastoreItem xmlns:ds="http://schemas.openxmlformats.org/officeDocument/2006/customXml" ds:itemID="{4F5CA1A3-7056-457F-952E-B3C02EAA31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Methodology Factor Proposal</vt:lpstr>
      <vt:lpstr>Variable (Non-Shared) Cost All.</vt:lpstr>
      <vt:lpstr>Transp Component Equity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Optumas</dc:creator>
  <cp:lastModifiedBy>Optumas</cp:lastModifiedBy>
  <dcterms:created xsi:type="dcterms:W3CDTF">2022-09-01T06:49:55Z</dcterms:created>
  <dcterms:modified xsi:type="dcterms:W3CDTF">2022-09-16T00:37:38Z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